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a\Documents\Association Cooperative\NADA\Documents Ressources\Statistique\"/>
    </mc:Choice>
  </mc:AlternateContent>
  <bookViews>
    <workbookView xWindow="0" yWindow="0" windowWidth="11025" windowHeight="5940" firstSheet="1" activeTab="1"/>
  </bookViews>
  <sheets>
    <sheet name="Freqs desti par périodes" sheetId="32" r:id="rId1"/>
    <sheet name="Durees vol - trains" sheetId="4" r:id="rId2"/>
    <sheet name="durée navette" sheetId="30" r:id="rId3"/>
    <sheet name="CO2 à LL par année" sheetId="33" r:id="rId4"/>
    <sheet name="Moy CO2 par destination" sheetId="34" r:id="rId5"/>
    <sheet name="Comparatif CO2 emis" sheetId="3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3" l="1"/>
  <c r="P28" i="33"/>
  <c r="Q21" i="33"/>
  <c r="N21" i="33"/>
  <c r="Q23" i="33"/>
  <c r="G23" i="33"/>
  <c r="F4" i="35" l="1"/>
  <c r="D13" i="35"/>
  <c r="D14" i="35"/>
  <c r="G28" i="33"/>
  <c r="G26" i="33"/>
  <c r="H26" i="33"/>
  <c r="H27" i="33"/>
  <c r="Q22" i="33"/>
  <c r="N22" i="33"/>
  <c r="O21" i="33"/>
  <c r="K22" i="33"/>
  <c r="K21" i="33"/>
  <c r="L21" i="33"/>
  <c r="K4" i="33"/>
  <c r="G22" i="33"/>
  <c r="H22" i="33"/>
  <c r="N5" i="33"/>
  <c r="N6" i="33"/>
  <c r="N7" i="33"/>
  <c r="N8" i="33"/>
  <c r="N9" i="33"/>
  <c r="N11" i="33"/>
  <c r="N12" i="33"/>
  <c r="N4" i="33"/>
  <c r="O4" i="33"/>
  <c r="K5" i="33"/>
  <c r="K6" i="33"/>
  <c r="L4" i="33"/>
  <c r="J4" i="33"/>
  <c r="J6" i="33"/>
  <c r="O32" i="4"/>
  <c r="O30" i="4"/>
  <c r="D19" i="34"/>
  <c r="D18" i="34"/>
  <c r="D2" i="34"/>
  <c r="N20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1" i="4"/>
  <c r="N22" i="4"/>
  <c r="N23" i="4"/>
  <c r="N24" i="4"/>
  <c r="N25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N3" i="4"/>
  <c r="H3" i="4"/>
  <c r="H3" i="30" l="1"/>
  <c r="F4" i="30"/>
  <c r="J5" i="33"/>
  <c r="L5" i="33" s="1"/>
  <c r="D4" i="35"/>
  <c r="O22" i="30"/>
  <c r="K20" i="30"/>
  <c r="O20" i="30" s="1"/>
  <c r="O21" i="30"/>
  <c r="H21" i="30"/>
  <c r="H20" i="30"/>
  <c r="M20" i="30"/>
  <c r="M3" i="30"/>
  <c r="O5" i="33" l="1"/>
  <c r="O6" i="33"/>
  <c r="O7" i="33"/>
  <c r="O8" i="33"/>
  <c r="J7" i="33"/>
  <c r="J8" i="33"/>
  <c r="L6" i="33"/>
  <c r="E5" i="33"/>
  <c r="M10" i="33"/>
  <c r="O10" i="33" s="1"/>
  <c r="I10" i="33"/>
  <c r="J10" i="33" s="1"/>
  <c r="L10" i="33" s="1"/>
  <c r="M12" i="33"/>
  <c r="O12" i="33" s="1"/>
  <c r="I12" i="33"/>
  <c r="J12" i="33" s="1"/>
  <c r="M11" i="33"/>
  <c r="O11" i="33" s="1"/>
  <c r="I11" i="33"/>
  <c r="J11" i="33" s="1"/>
  <c r="M9" i="33"/>
  <c r="O9" i="33" s="1"/>
  <c r="I9" i="33"/>
  <c r="J9" i="33" s="1"/>
  <c r="L11" i="33" l="1"/>
  <c r="K11" i="33"/>
  <c r="L8" i="33"/>
  <c r="L22" i="33" s="1"/>
  <c r="K8" i="33"/>
  <c r="L7" i="33"/>
  <c r="K7" i="33"/>
  <c r="L9" i="33"/>
  <c r="K9" i="33"/>
  <c r="L12" i="33"/>
  <c r="K12" i="33"/>
  <c r="O22" i="33"/>
  <c r="H5" i="35"/>
  <c r="H4" i="35"/>
  <c r="F5" i="35"/>
  <c r="D5" i="35"/>
  <c r="E16" i="33"/>
  <c r="H16" i="33" s="1"/>
  <c r="H5" i="33"/>
  <c r="G5" i="33"/>
  <c r="E6" i="33"/>
  <c r="E7" i="33"/>
  <c r="H7" i="33" s="1"/>
  <c r="E8" i="33"/>
  <c r="G8" i="33" s="1"/>
  <c r="E9" i="33"/>
  <c r="H9" i="33" s="1"/>
  <c r="E10" i="33"/>
  <c r="H10" i="33" s="1"/>
  <c r="E11" i="33"/>
  <c r="E12" i="33"/>
  <c r="H12" i="33" s="1"/>
  <c r="E4" i="33"/>
  <c r="F4" i="33" s="1"/>
  <c r="D9" i="34"/>
  <c r="C9" i="34"/>
  <c r="B9" i="34"/>
  <c r="D3" i="34"/>
  <c r="D4" i="34"/>
  <c r="D5" i="34"/>
  <c r="D6" i="34"/>
  <c r="D7" i="34"/>
  <c r="D8" i="34"/>
  <c r="D10" i="34"/>
  <c r="P22" i="33" l="1"/>
  <c r="F6" i="33"/>
  <c r="G6" i="33"/>
  <c r="G4" i="33"/>
  <c r="H4" i="33"/>
  <c r="H11" i="33"/>
  <c r="G11" i="33"/>
  <c r="F9" i="33"/>
  <c r="F5" i="33"/>
  <c r="G9" i="33"/>
  <c r="H6" i="33"/>
  <c r="F8" i="33"/>
  <c r="G7" i="33"/>
  <c r="F12" i="33"/>
  <c r="F7" i="33"/>
  <c r="G12" i="33"/>
  <c r="H8" i="33"/>
  <c r="F11" i="33"/>
  <c r="H23" i="33" l="1"/>
  <c r="F22" i="33"/>
  <c r="F21" i="33"/>
  <c r="H21" i="33"/>
  <c r="G21" i="33"/>
  <c r="C42" i="32"/>
  <c r="C40" i="32"/>
  <c r="C39" i="32"/>
  <c r="C38" i="32"/>
  <c r="F26" i="33" l="1"/>
  <c r="F28" i="33" s="1"/>
  <c r="F23" i="33"/>
  <c r="H9" i="35"/>
  <c r="H11" i="35" s="1"/>
  <c r="D9" i="35"/>
  <c r="F9" i="35"/>
  <c r="F11" i="35" s="1"/>
  <c r="I11" i="30"/>
  <c r="J11" i="30" s="1"/>
  <c r="H11" i="30"/>
  <c r="G11" i="30"/>
  <c r="F27" i="33" l="1"/>
  <c r="D11" i="35"/>
  <c r="G27" i="33"/>
  <c r="H28" i="33"/>
  <c r="H23" i="30"/>
  <c r="J23" i="30" s="1"/>
  <c r="G23" i="30"/>
  <c r="I23" i="30" s="1"/>
  <c r="J20" i="30"/>
  <c r="G20" i="30"/>
  <c r="I20" i="30" s="1"/>
  <c r="I19" i="30"/>
  <c r="H19" i="30"/>
  <c r="J19" i="30" s="1"/>
  <c r="J21" i="30" l="1"/>
  <c r="C43" i="32"/>
  <c r="I7" i="30"/>
  <c r="J7" i="30" s="1"/>
  <c r="H7" i="30"/>
  <c r="H17" i="30"/>
  <c r="H15" i="30"/>
  <c r="F17" i="30"/>
  <c r="E17" i="30"/>
  <c r="G17" i="30" s="1"/>
  <c r="I17" i="30" s="1"/>
  <c r="D17" i="30"/>
  <c r="I13" i="30"/>
  <c r="H13" i="30"/>
  <c r="H9" i="30"/>
  <c r="J9" i="30" s="1"/>
  <c r="G13" i="30"/>
  <c r="G15" i="30"/>
  <c r="I15" i="30" s="1"/>
  <c r="J15" i="30" s="1"/>
  <c r="H4" i="30"/>
  <c r="I3" i="30"/>
  <c r="J3" i="30"/>
  <c r="K3" i="30" s="1"/>
  <c r="G9" i="30"/>
  <c r="E9" i="30"/>
  <c r="F9" i="30"/>
  <c r="D9" i="30"/>
  <c r="I9" i="30" s="1"/>
  <c r="E4" i="30"/>
  <c r="D4" i="30"/>
  <c r="G4" i="30" s="1"/>
  <c r="I4" i="30" s="1"/>
  <c r="G17" i="4"/>
  <c r="G18" i="4"/>
  <c r="G19" i="4"/>
  <c r="G20" i="4"/>
  <c r="G21" i="4"/>
  <c r="G22" i="4"/>
  <c r="G23" i="4"/>
  <c r="G24" i="4"/>
  <c r="G25" i="4"/>
  <c r="G26" i="4"/>
  <c r="G16" i="4"/>
  <c r="G4" i="4"/>
  <c r="G5" i="4"/>
  <c r="G6" i="4"/>
  <c r="G7" i="4"/>
  <c r="G8" i="4"/>
  <c r="G9" i="4"/>
  <c r="G10" i="4"/>
  <c r="G11" i="4"/>
  <c r="G12" i="4"/>
  <c r="G13" i="4"/>
  <c r="G14" i="4"/>
  <c r="G3" i="4"/>
  <c r="O14" i="4" l="1"/>
  <c r="O13" i="4"/>
  <c r="O9" i="4"/>
  <c r="O12" i="4"/>
  <c r="O8" i="4"/>
  <c r="O24" i="4"/>
  <c r="J4" i="30"/>
  <c r="J5" i="30"/>
  <c r="J17" i="30"/>
  <c r="M11" i="4"/>
  <c r="O11" i="4" s="1"/>
  <c r="M9" i="4"/>
  <c r="M6" i="4"/>
  <c r="O6" i="4" s="1"/>
  <c r="M16" i="4"/>
  <c r="M17" i="4"/>
  <c r="O17" i="4" s="1"/>
  <c r="M18" i="4"/>
  <c r="M19" i="4"/>
  <c r="O19" i="4" s="1"/>
  <c r="M20" i="4"/>
  <c r="M21" i="4"/>
  <c r="M22" i="4"/>
  <c r="M23" i="4"/>
  <c r="M24" i="4"/>
  <c r="M25" i="4"/>
  <c r="M8" i="4"/>
  <c r="M10" i="4"/>
  <c r="O10" i="4" s="1"/>
  <c r="M12" i="4"/>
  <c r="M13" i="4"/>
  <c r="M14" i="4"/>
  <c r="M3" i="4"/>
  <c r="O3" i="4" s="1"/>
  <c r="M4" i="4"/>
  <c r="O4" i="4" s="1"/>
  <c r="M5" i="4"/>
  <c r="O5" i="4" s="1"/>
  <c r="O31" i="4" l="1"/>
  <c r="M7" i="4"/>
  <c r="O7" i="4" s="1"/>
  <c r="O29" i="4" s="1"/>
</calcChain>
</file>

<file path=xl/sharedStrings.xml><?xml version="1.0" encoding="utf-8"?>
<sst xmlns="http://schemas.openxmlformats.org/spreadsheetml/2006/main" count="247" uniqueCount="183">
  <si>
    <t>destination</t>
  </si>
  <si>
    <t>Lyon</t>
  </si>
  <si>
    <t>Bordeaux</t>
  </si>
  <si>
    <t>Marseille</t>
  </si>
  <si>
    <t>Nice</t>
  </si>
  <si>
    <t>Toulouse</t>
  </si>
  <si>
    <t>aéroport - ville</t>
  </si>
  <si>
    <t>temps d'enregistrement</t>
  </si>
  <si>
    <t>total</t>
  </si>
  <si>
    <t>Ville</t>
  </si>
  <si>
    <t>durée du vol</t>
  </si>
  <si>
    <t>delta navette</t>
  </si>
  <si>
    <t>delta avance</t>
  </si>
  <si>
    <t>Montpellier</t>
  </si>
  <si>
    <t>Nantes</t>
  </si>
  <si>
    <t>Split (Croatie)</t>
  </si>
  <si>
    <t>corresp</t>
  </si>
  <si>
    <t>Barcelone (Esp)</t>
  </si>
  <si>
    <t>Malaga (Esp)</t>
  </si>
  <si>
    <t>Rome (Ita)</t>
  </si>
  <si>
    <t>Venise (Ita)</t>
  </si>
  <si>
    <t>Cracovie (Pol)</t>
  </si>
  <si>
    <t>Faro (Por)</t>
  </si>
  <si>
    <t>Porto (Por)</t>
  </si>
  <si>
    <t>Genève (Sui)</t>
  </si>
  <si>
    <t>Varna (Bul)</t>
  </si>
  <si>
    <t>Athènes (Gre)</t>
  </si>
  <si>
    <t>destination de toute l'année</t>
  </si>
  <si>
    <t>Bordeaux corresp (train)</t>
  </si>
  <si>
    <t>Lyon corresp</t>
  </si>
  <si>
    <t>Montpellier corresp</t>
  </si>
  <si>
    <t>durée du train*</t>
  </si>
  <si>
    <t>Nantes (corresp)</t>
  </si>
  <si>
    <t>*moyenne ou optimale</t>
  </si>
  <si>
    <t>Nice (corresp)</t>
  </si>
  <si>
    <t>Perpignan (corresp)</t>
  </si>
  <si>
    <t>Toulouse (corresp)</t>
  </si>
  <si>
    <t>Lille Lesquin</t>
  </si>
  <si>
    <t>"EAGLE3" (medical ?)</t>
  </si>
  <si>
    <t>rmq</t>
  </si>
  <si>
    <t>6 pdt vacances d'hivers, 7 WE (ven ou dim)</t>
  </si>
  <si>
    <t>pas de vol en janvier</t>
  </si>
  <si>
    <t>nb  vols du 09/01 au 30/03/23</t>
  </si>
  <si>
    <t>nb vols de 01 à 10/2023</t>
  </si>
  <si>
    <t>Marrakech (Mrc)</t>
  </si>
  <si>
    <t>Porto (Ptgl)</t>
  </si>
  <si>
    <t>Alger (Alg)</t>
  </si>
  <si>
    <t>Agadir (Mrc)</t>
  </si>
  <si>
    <t>Héraklion (île grq)</t>
  </si>
  <si>
    <t>3 vols en janvier normalement</t>
  </si>
  <si>
    <t>Hurghada (Egp)</t>
  </si>
  <si>
    <t>Lanzarote (île esp)</t>
  </si>
  <si>
    <t>pas de vols jan- mars / vols comptés : de avr à oct</t>
  </si>
  <si>
    <t>Nador (Mrc)</t>
  </si>
  <si>
    <t>Ténérifé (île esp)</t>
  </si>
  <si>
    <t>pas de vols en jan</t>
  </si>
  <si>
    <t>Ajaccio</t>
  </si>
  <si>
    <t>Oran (Alg)</t>
  </si>
  <si>
    <t>Tunis (Tns)</t>
  </si>
  <si>
    <t>Casablanca (Mrc)</t>
  </si>
  <si>
    <t>Constantine (Alg)</t>
  </si>
  <si>
    <t>Cracovie (Plg)</t>
  </si>
  <si>
    <t>Fuerteventura (île esp)</t>
  </si>
  <si>
    <t>Gran Canaria (île esp)</t>
  </si>
  <si>
    <t>Djerba (Tns)</t>
  </si>
  <si>
    <t>Totals vols faisable en train jan-mar</t>
  </si>
  <si>
    <t>Total vols nationaux jan-mar</t>
  </si>
  <si>
    <t>Total vols jan-mar</t>
  </si>
  <si>
    <t>Part des vols loin jan-mar</t>
  </si>
  <si>
    <t>pas de vol en jan</t>
  </si>
  <si>
    <t>pas de vols : jan- mars / vols comptés : entre avr et oct</t>
  </si>
  <si>
    <t>navette bus</t>
  </si>
  <si>
    <t>liane 1</t>
  </si>
  <si>
    <t>transport</t>
  </si>
  <si>
    <t>semaine</t>
  </si>
  <si>
    <t>samedi</t>
  </si>
  <si>
    <t>moyenne</t>
  </si>
  <si>
    <t>durée trajet</t>
  </si>
  <si>
    <t>Lille</t>
  </si>
  <si>
    <t>Toutes les x min, il y a 1 bus</t>
  </si>
  <si>
    <t>minimum</t>
  </si>
  <si>
    <t>navette express</t>
  </si>
  <si>
    <t>navette tramway</t>
  </si>
  <si>
    <t>Montpellier pour st roch</t>
  </si>
  <si>
    <t>navette</t>
  </si>
  <si>
    <t>tramway</t>
  </si>
  <si>
    <t>Perpignan</t>
  </si>
  <si>
    <t>bus</t>
  </si>
  <si>
    <t>différence avion-train (min.)</t>
  </si>
  <si>
    <t>Marseille (crps ou non)</t>
  </si>
  <si>
    <t>gare Lille - aéroport</t>
  </si>
  <si>
    <t>Durée du trajet en avion (en min.)</t>
  </si>
  <si>
    <t>Durée du trajet en train (en min.)</t>
  </si>
  <si>
    <t>Kittilia</t>
  </si>
  <si>
    <t>Part des vols faisables en train jan-mar</t>
  </si>
  <si>
    <t>Genève</t>
  </si>
  <si>
    <t>Impact de l'avion</t>
  </si>
  <si>
    <t>Strasbourg</t>
  </si>
  <si>
    <t>n.c</t>
  </si>
  <si>
    <t>Nb de passagers (nb de PAX dans les 2 sens des trajets, selon la DGAC)</t>
  </si>
  <si>
    <t>kg CO2 selon DGAC</t>
  </si>
  <si>
    <t>kg CO2 selon Air France</t>
  </si>
  <si>
    <t>Strasbourg (400 km ~)</t>
  </si>
  <si>
    <t>Marseille (800 km ~)</t>
  </si>
  <si>
    <t>kg CO2 / voyageurs (moy Air F et DGAC*)</t>
  </si>
  <si>
    <t>* cf Moy CO2 par p</t>
  </si>
  <si>
    <t>Genève (s : SMALIM)</t>
  </si>
  <si>
    <t>Total</t>
  </si>
  <si>
    <t>soit l'impact de n français en 1 an</t>
  </si>
  <si>
    <t>Lesquin</t>
  </si>
  <si>
    <t>Soit l'équivalent de la pop de</t>
  </si>
  <si>
    <t>Seclin (12463 en 2019)</t>
  </si>
  <si>
    <t>9012 (en 2019)</t>
  </si>
  <si>
    <t>Seclin + Templemars</t>
  </si>
  <si>
    <t>soit % CO2 du bilan C de la pop survolée</t>
  </si>
  <si>
    <t>soit % CO2 du bilan C de la pop MEL</t>
  </si>
  <si>
    <t>Lille-Paris (225 - 0,39) + Paris - destination</t>
  </si>
  <si>
    <t>kg CO2 / voyageurs selon la SNCF</t>
  </si>
  <si>
    <t>kg CO2 /p selon le calcul de SP</t>
  </si>
  <si>
    <t xml:space="preserve">tCO2 totale des voyageurs </t>
  </si>
  <si>
    <t>2,4 gCO2/km de train/p</t>
  </si>
  <si>
    <t>Total national</t>
  </si>
  <si>
    <t>Total national tCO2 net</t>
  </si>
  <si>
    <t>Total national MtCO2 net</t>
  </si>
  <si>
    <t>source sncf : https://data.sncf.com/explore/dataset/emission-co2-tgv/table/?sort=tgv_empreinte_co2e_kgco2e_voyageur&amp;dataChart=eyJ0aW1lc2NhbGUiOiIiLCJxdWVyaWVzIjpbeyJ4QXhpcyI6ImxpYWlzb24iLCJzb3J0Ijoic2VyaWUxIiwibWF4cG9pbnRzIjo1MCwiY2hhcnRzIjpbeyJ5QXhpcyI6ImRpc3RhbmNlIiwiZnVuYyI6IlNVTSIsImNvbG9yIjoiIzJmN2VkOCIsInR5cGUiOiJjb2x1bW4iLCJzY2llbnRpZmljRGlzcGxheSI6dHJ1ZX1dLCJjb25maWciOnsiZGF0YXNldCI6ImVtaXNzaW9uLWNvMi10Z3YiLCJvcHRpb25zIjp7InNvcnQiOiJ0Z3ZfZW1wcmVpbnRlX2NvMmVfa2djbzJlX3ZveWFnZXVyIn19fV0sImRpc3BsYXlMZWdlbmQiOnRydWUsImFsaWduTW9udGgiOnRydWV9</t>
  </si>
  <si>
    <t>Destination à partir de Lille</t>
  </si>
  <si>
    <t>Destinations</t>
  </si>
  <si>
    <r>
      <t xml:space="preserve">émission totale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(tCO2)</t>
    </r>
  </si>
  <si>
    <r>
      <t xml:space="preserve">émission totale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(tCO2)</t>
    </r>
  </si>
  <si>
    <r>
      <t xml:space="preserve">émission totale </t>
    </r>
    <r>
      <rPr>
        <b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(tCO2)</t>
    </r>
  </si>
  <si>
    <r>
      <t xml:space="preserve">tCO2 totale des voyageurs </t>
    </r>
    <r>
      <rPr>
        <b/>
        <sz val="11"/>
        <color theme="1"/>
        <rFont val="Calibri"/>
        <family val="2"/>
        <scheme val="minor"/>
      </rPr>
      <t>2021</t>
    </r>
  </si>
  <si>
    <t>Impact du train en 2021 sauf Strabourg : 2019</t>
  </si>
  <si>
    <t>Nb de personnes</t>
  </si>
  <si>
    <t>CO2 émis en 1 an sur 3 années différentes</t>
  </si>
  <si>
    <t>total tCO2 des hbt.es en 1 an</t>
  </si>
  <si>
    <t>t CO2 / hbt.es</t>
  </si>
  <si>
    <t>tCO2 / hbt.es</t>
  </si>
  <si>
    <t>soit environ la population de Lesquin (9012 en 2019)</t>
  </si>
  <si>
    <t>soit l'économie annuelle de CO2  de n personnes</t>
  </si>
  <si>
    <r>
      <rPr>
        <sz val="11"/>
        <color rgb="FFFF0000"/>
        <rFont val="Calibri"/>
        <family val="2"/>
        <scheme val="minor"/>
      </rPr>
      <t>distance</t>
    </r>
    <r>
      <rPr>
        <sz val="11"/>
        <color theme="1"/>
        <rFont val="Calibri"/>
        <family val="2"/>
        <scheme val="minor"/>
      </rPr>
      <t xml:space="preserve"> (km)</t>
    </r>
  </si>
  <si>
    <t>Moyenne tCO2 totale des voyageur.euses</t>
  </si>
  <si>
    <t>Seclin</t>
  </si>
  <si>
    <t>Wattiginies</t>
  </si>
  <si>
    <t>soit l'émission annuelle de CO2  de n personnes</t>
  </si>
  <si>
    <t xml:space="preserve">soit l'équivalent de la population de </t>
  </si>
  <si>
    <t>Houplin Ancoisne</t>
  </si>
  <si>
    <t>Gondecourt</t>
  </si>
  <si>
    <t>rescenssement population 2019</t>
  </si>
  <si>
    <t>Fâches Thumesnil</t>
  </si>
  <si>
    <t>Ronchin</t>
  </si>
  <si>
    <t>Templemars</t>
  </si>
  <si>
    <t>Vendeville</t>
  </si>
  <si>
    <t>Wattignies</t>
  </si>
  <si>
    <t>Wavrin</t>
  </si>
  <si>
    <t>Croix</t>
  </si>
  <si>
    <t>Roubaix</t>
  </si>
  <si>
    <t>Wasquehal</t>
  </si>
  <si>
    <t>Mons en Baroeul</t>
  </si>
  <si>
    <t>Bouvines</t>
  </si>
  <si>
    <t>Saint André Lez Lille</t>
  </si>
  <si>
    <t>Saighain en Mélantois</t>
  </si>
  <si>
    <t>Fretin</t>
  </si>
  <si>
    <t>Seclin + Fretin (15700)</t>
  </si>
  <si>
    <t>Péronne en Mélantois</t>
  </si>
  <si>
    <t>Wambrechies</t>
  </si>
  <si>
    <t>Nb hbt.es</t>
  </si>
  <si>
    <t>Métropole Européenne de Lille</t>
  </si>
  <si>
    <t>Survolé.es de l'aéroport Lille Lesquin</t>
  </si>
  <si>
    <t xml:space="preserve">émission CO2 avion des destinations nationales </t>
  </si>
  <si>
    <t>Moy ville fr</t>
  </si>
  <si>
    <t>Moy ville fr tout type de trajet confondu</t>
  </si>
  <si>
    <t>Moy ville fr trajet avec corresp</t>
  </si>
  <si>
    <t>Moy ville fr trajet direct</t>
  </si>
  <si>
    <t>total en heure</t>
  </si>
  <si>
    <r>
      <t xml:space="preserve">kg </t>
    </r>
    <r>
      <rPr>
        <b/>
        <sz val="11"/>
        <color theme="1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total selon DGAC</t>
    </r>
  </si>
  <si>
    <r>
      <t xml:space="preserve">moyenne kg </t>
    </r>
    <r>
      <rPr>
        <b/>
        <sz val="11"/>
        <color theme="1"/>
        <rFont val="Calibri"/>
        <family val="2"/>
        <scheme val="minor"/>
      </rPr>
      <t>CO2</t>
    </r>
  </si>
  <si>
    <t>Moy ville fr sauf Strasbourg</t>
  </si>
  <si>
    <t>Moy ville fr à moins de 5h</t>
  </si>
  <si>
    <t>tCO2 totale des voyageurs</t>
  </si>
  <si>
    <r>
      <t xml:space="preserve">émission totale </t>
    </r>
    <r>
      <rPr>
        <sz val="11"/>
        <color theme="1"/>
        <rFont val="Calibri"/>
        <family val="2"/>
        <scheme val="minor"/>
      </rPr>
      <t xml:space="preserve"> (tCO2)</t>
    </r>
  </si>
  <si>
    <t>données générales</t>
  </si>
  <si>
    <t>tCO2 totale de voyageurs</t>
  </si>
  <si>
    <t>temps garantie accès au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</si>
</sst>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9" xfId="0" applyBorder="1"/>
    <xf numFmtId="1" fontId="0" fillId="0" borderId="0" xfId="0" applyNumberFormat="1"/>
    <xf numFmtId="1" fontId="0" fillId="0" borderId="4" xfId="0" applyNumberFormat="1" applyBorder="1"/>
    <xf numFmtId="1" fontId="0" fillId="0" borderId="0" xfId="0" applyNumberFormat="1" applyFill="1" applyBorder="1"/>
    <xf numFmtId="1" fontId="0" fillId="0" borderId="9" xfId="0" applyNumberFormat="1" applyBorder="1"/>
    <xf numFmtId="9" fontId="0" fillId="0" borderId="0" xfId="1" applyFont="1"/>
    <xf numFmtId="0" fontId="2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/>
    <xf numFmtId="0" fontId="0" fillId="0" borderId="2" xfId="0" applyBorder="1" applyAlignment="1">
      <alignment wrapText="1"/>
    </xf>
    <xf numFmtId="1" fontId="0" fillId="0" borderId="0" xfId="0" applyNumberFormat="1" applyFill="1" applyBorder="1" applyAlignment="1">
      <alignment horizontal="right"/>
    </xf>
    <xf numFmtId="0" fontId="0" fillId="0" borderId="13" xfId="0" applyBorder="1" applyAlignment="1">
      <alignment horizontal="center" wrapText="1"/>
    </xf>
    <xf numFmtId="1" fontId="0" fillId="0" borderId="12" xfId="0" applyNumberFormat="1" applyFill="1" applyBorder="1"/>
    <xf numFmtId="0" fontId="0" fillId="0" borderId="12" xfId="0" applyBorder="1"/>
    <xf numFmtId="0" fontId="0" fillId="0" borderId="3" xfId="0" applyBorder="1" applyAlignment="1">
      <alignment wrapText="1"/>
    </xf>
    <xf numFmtId="1" fontId="2" fillId="0" borderId="0" xfId="0" applyNumberFormat="1" applyFont="1"/>
    <xf numFmtId="0" fontId="0" fillId="0" borderId="14" xfId="0" applyBorder="1" applyAlignment="1">
      <alignment horizontal="center" wrapText="1"/>
    </xf>
    <xf numFmtId="164" fontId="0" fillId="0" borderId="0" xfId="0" applyNumberFormat="1"/>
    <xf numFmtId="1" fontId="2" fillId="0" borderId="0" xfId="0" applyNumberFormat="1" applyFont="1" applyBorder="1"/>
    <xf numFmtId="1" fontId="2" fillId="0" borderId="10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0" fontId="0" fillId="0" borderId="7" xfId="0" applyBorder="1"/>
    <xf numFmtId="0" fontId="0" fillId="0" borderId="4" xfId="0" applyBorder="1" applyAlignment="1">
      <alignment wrapText="1"/>
    </xf>
    <xf numFmtId="9" fontId="0" fillId="0" borderId="4" xfId="1" applyFont="1" applyBorder="1" applyAlignment="1">
      <alignment horizontal="right"/>
    </xf>
    <xf numFmtId="9" fontId="0" fillId="0" borderId="4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6" fillId="0" borderId="17" xfId="0" applyFont="1" applyBorder="1"/>
    <xf numFmtId="0" fontId="4" fillId="0" borderId="4" xfId="0" applyFont="1" applyBorder="1"/>
    <xf numFmtId="0" fontId="0" fillId="0" borderId="5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6" xfId="0" applyBorder="1"/>
    <xf numFmtId="165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 applyAlignment="1">
      <alignment wrapText="1"/>
    </xf>
    <xf numFmtId="2" fontId="2" fillId="0" borderId="7" xfId="0" applyNumberFormat="1" applyFont="1" applyBorder="1"/>
    <xf numFmtId="165" fontId="2" fillId="0" borderId="0" xfId="0" applyNumberFormat="1" applyFont="1"/>
    <xf numFmtId="0" fontId="0" fillId="0" borderId="33" xfId="0" applyBorder="1"/>
    <xf numFmtId="0" fontId="0" fillId="0" borderId="34" xfId="0" applyBorder="1"/>
    <xf numFmtId="0" fontId="0" fillId="0" borderId="34" xfId="0" applyFont="1" applyBorder="1"/>
    <xf numFmtId="0" fontId="0" fillId="0" borderId="35" xfId="0" applyFont="1" applyBorder="1"/>
    <xf numFmtId="0" fontId="0" fillId="0" borderId="1" xfId="0" applyBorder="1" applyAlignment="1">
      <alignment vertical="center" wrapText="1"/>
    </xf>
    <xf numFmtId="165" fontId="0" fillId="0" borderId="1" xfId="0" applyNumberFormat="1" applyBorder="1"/>
    <xf numFmtId="0" fontId="7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0" fillId="0" borderId="7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7" xfId="0" applyFont="1" applyBorder="1"/>
    <xf numFmtId="1" fontId="0" fillId="0" borderId="7" xfId="0" applyNumberFormat="1" applyBorder="1"/>
    <xf numFmtId="0" fontId="3" fillId="0" borderId="4" xfId="0" applyFont="1" applyBorder="1"/>
    <xf numFmtId="0" fontId="7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8" fillId="0" borderId="1" xfId="0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Répartition des vols en fonction des types de destination sur 3 mois (jan, fèv, mars)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97418899712635"/>
          <c:y val="0.26422124887122228"/>
          <c:w val="0.32752482026703184"/>
          <c:h val="0.5328860419778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9.5865778635378082E-2"/>
                  <c:y val="-9.50586964410799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8498749909225775E-2"/>
                  <c:y val="5.72472170882176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'Freqs desti par périodes'!$A$42:$A$43</c:f>
              <c:strCache>
                <c:ptCount val="2"/>
                <c:pt idx="0">
                  <c:v>Part des vols faisables en train jan-mar</c:v>
                </c:pt>
                <c:pt idx="1">
                  <c:v>Part des vols loin jan-mar</c:v>
                </c:pt>
              </c:strCache>
            </c:strRef>
          </c:cat>
          <c:val>
            <c:numRef>
              <c:f>'Freqs desti par périodes'!$C$42:$C$43</c:f>
              <c:numCache>
                <c:formatCode>0%</c:formatCode>
                <c:ptCount val="2"/>
                <c:pt idx="0">
                  <c:v>0.6320855614973262</c:v>
                </c:pt>
                <c:pt idx="1">
                  <c:v>0.3679144385026738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119457536724423"/>
          <c:y val="0.29043345913121804"/>
          <c:w val="0.39573973324382411"/>
          <c:h val="0.200690801223811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1038224</xdr:colOff>
      <xdr:row>27</xdr:row>
      <xdr:rowOff>9526</xdr:rowOff>
    </xdr:from>
    <xdr:to>
      <xdr:col>7</xdr:col>
      <xdr:colOff>761999</xdr:colOff>
      <xdr:row>43</xdr:row>
      <xdr:rowOff>180976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70" zoomScaleNormal="70" workbookViewId="0">
      <pane xSplit="1" topLeftCell="B1" activePane="topRight" state="frozen"/>
      <selection pane="topRight" activeCell="A15" sqref="A15"/>
    </sheetView>
  </sheetViews>
  <sheetFormatPr baseColWidth="10" defaultRowHeight="15" x14ac:dyDescent="0.25"/>
  <cols>
    <col min="1" max="1" width="38.7109375" customWidth="1"/>
    <col min="2" max="2" width="23.7109375" customWidth="1"/>
    <col min="3" max="3" width="28.85546875" bestFit="1" customWidth="1"/>
    <col min="4" max="4" width="50.28515625" bestFit="1" customWidth="1"/>
    <col min="26" max="26" width="12.85546875" style="3" customWidth="1"/>
  </cols>
  <sheetData>
    <row r="1" spans="1:25" x14ac:dyDescent="0.25">
      <c r="A1" t="s">
        <v>27</v>
      </c>
      <c r="B1" t="s">
        <v>43</v>
      </c>
      <c r="C1" t="s">
        <v>42</v>
      </c>
      <c r="D1" t="s">
        <v>39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t="s">
        <v>47</v>
      </c>
      <c r="C2">
        <v>23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x14ac:dyDescent="0.25">
      <c r="A3" t="s">
        <v>46</v>
      </c>
      <c r="B3">
        <v>158</v>
      </c>
      <c r="C3">
        <v>71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x14ac:dyDescent="0.25">
      <c r="A4" t="s">
        <v>2</v>
      </c>
      <c r="C4">
        <v>91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x14ac:dyDescent="0.25">
      <c r="A5" t="s">
        <v>59</v>
      </c>
      <c r="B5">
        <v>69</v>
      </c>
      <c r="C5">
        <v>13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x14ac:dyDescent="0.25">
      <c r="A6" t="s">
        <v>60</v>
      </c>
      <c r="C6">
        <v>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x14ac:dyDescent="0.25">
      <c r="A7" t="s">
        <v>61</v>
      </c>
      <c r="C7">
        <v>22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25">
      <c r="A8" t="s">
        <v>64</v>
      </c>
      <c r="C8">
        <v>14</v>
      </c>
      <c r="D8" t="s">
        <v>41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x14ac:dyDescent="0.25">
      <c r="A9" t="s">
        <v>62</v>
      </c>
      <c r="C9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x14ac:dyDescent="0.25">
      <c r="A10" t="s">
        <v>24</v>
      </c>
      <c r="C10">
        <v>34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x14ac:dyDescent="0.25">
      <c r="A11" t="s">
        <v>63</v>
      </c>
      <c r="C11">
        <v>23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x14ac:dyDescent="0.25">
      <c r="A12" t="s">
        <v>48</v>
      </c>
      <c r="B12">
        <v>29</v>
      </c>
      <c r="C12">
        <v>0</v>
      </c>
      <c r="D12" t="s">
        <v>52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5" x14ac:dyDescent="0.25">
      <c r="A13" t="s">
        <v>50</v>
      </c>
      <c r="C13">
        <v>11</v>
      </c>
      <c r="D13" t="s">
        <v>49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5" x14ac:dyDescent="0.25">
      <c r="A14" t="s">
        <v>51</v>
      </c>
      <c r="C14">
        <v>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5" x14ac:dyDescent="0.25">
      <c r="A15" t="s">
        <v>37</v>
      </c>
      <c r="C15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x14ac:dyDescent="0.25">
      <c r="A16" t="s">
        <v>1</v>
      </c>
      <c r="B16">
        <v>208</v>
      </c>
      <c r="C16">
        <v>58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t="s">
        <v>44</v>
      </c>
      <c r="B17">
        <v>95</v>
      </c>
      <c r="C17">
        <v>34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t="s">
        <v>3</v>
      </c>
      <c r="C18">
        <v>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t="s">
        <v>53</v>
      </c>
      <c r="B19">
        <v>57</v>
      </c>
      <c r="C19">
        <v>0</v>
      </c>
      <c r="D19" t="s">
        <v>70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t="s">
        <v>14</v>
      </c>
      <c r="C20">
        <v>13</v>
      </c>
      <c r="D20" t="s">
        <v>40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t="s">
        <v>4</v>
      </c>
      <c r="C21">
        <v>154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t="s">
        <v>57</v>
      </c>
      <c r="B22">
        <v>134</v>
      </c>
      <c r="C22">
        <v>48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t="s">
        <v>45</v>
      </c>
      <c r="C23">
        <v>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t="s">
        <v>54</v>
      </c>
      <c r="C24">
        <v>11</v>
      </c>
      <c r="D24" t="s">
        <v>69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t="s">
        <v>5</v>
      </c>
      <c r="C25">
        <v>150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t="s">
        <v>58</v>
      </c>
      <c r="C26">
        <v>7</v>
      </c>
      <c r="D26" t="s">
        <v>55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t="s">
        <v>56</v>
      </c>
      <c r="C27">
        <v>1</v>
      </c>
      <c r="F27" s="3"/>
      <c r="G27" s="3"/>
      <c r="H27" s="3"/>
      <c r="I27" s="3"/>
    </row>
    <row r="29" spans="1:24" x14ac:dyDescent="0.25">
      <c r="F29" s="3"/>
      <c r="G29" s="3"/>
      <c r="H29" s="3"/>
      <c r="I29" s="3"/>
    </row>
    <row r="30" spans="1:24" x14ac:dyDescent="0.25">
      <c r="A30" t="s">
        <v>93</v>
      </c>
      <c r="C30">
        <v>1</v>
      </c>
    </row>
    <row r="35" spans="1:9" x14ac:dyDescent="0.25">
      <c r="F35" s="3"/>
      <c r="H35" s="3"/>
      <c r="I35" s="3"/>
    </row>
    <row r="38" spans="1:9" x14ac:dyDescent="0.25">
      <c r="A38" t="s">
        <v>67</v>
      </c>
      <c r="C38">
        <f>SUM(C2:C34)</f>
        <v>935</v>
      </c>
    </row>
    <row r="39" spans="1:9" x14ac:dyDescent="0.25">
      <c r="A39" t="s">
        <v>66</v>
      </c>
      <c r="C39">
        <f>SUM(C4,C16,C18,C20,C21,C25)</f>
        <v>557</v>
      </c>
    </row>
    <row r="40" spans="1:9" x14ac:dyDescent="0.25">
      <c r="A40" t="s">
        <v>65</v>
      </c>
      <c r="C40">
        <f>SUM(C39,C10)</f>
        <v>591</v>
      </c>
    </row>
    <row r="42" spans="1:9" x14ac:dyDescent="0.25">
      <c r="A42" t="s">
        <v>94</v>
      </c>
      <c r="C42" s="20">
        <f>C40/C38</f>
        <v>0.6320855614973262</v>
      </c>
    </row>
    <row r="43" spans="1:9" x14ac:dyDescent="0.25">
      <c r="A43" t="s">
        <v>68</v>
      </c>
      <c r="C43" s="20">
        <f>1-C42</f>
        <v>0.3679144385026738</v>
      </c>
    </row>
    <row r="56" spans="1:6" x14ac:dyDescent="0.25">
      <c r="A56" t="s">
        <v>37</v>
      </c>
      <c r="F56" t="s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5" zoomScaleNormal="85" workbookViewId="0">
      <pane xSplit="1" topLeftCell="E1" activePane="topRight" state="frozen"/>
      <selection pane="topRight" activeCell="K8" sqref="K8"/>
    </sheetView>
  </sheetViews>
  <sheetFormatPr baseColWidth="10" defaultRowHeight="15" x14ac:dyDescent="0.25"/>
  <cols>
    <col min="1" max="1" width="38.28515625" style="4" customWidth="1"/>
    <col min="2" max="2" width="13.28515625" customWidth="1"/>
    <col min="3" max="3" width="18.42578125" bestFit="1" customWidth="1"/>
    <col min="4" max="4" width="24" customWidth="1"/>
    <col min="5" max="5" width="15.28515625" customWidth="1"/>
    <col min="6" max="6" width="15.7109375" customWidth="1"/>
    <col min="7" max="7" width="12.7109375" style="22" customWidth="1"/>
    <col min="8" max="8" width="14" style="4" customWidth="1"/>
    <col min="9" max="9" width="16.85546875" customWidth="1"/>
    <col min="10" max="10" width="14" customWidth="1"/>
    <col min="11" max="11" width="15.7109375" customWidth="1"/>
    <col min="13" max="13" width="11.42578125" style="22"/>
    <col min="14" max="14" width="14.28515625" style="4" bestFit="1" customWidth="1"/>
    <col min="15" max="15" width="27.5703125" customWidth="1"/>
  </cols>
  <sheetData>
    <row r="1" spans="1:16" x14ac:dyDescent="0.25">
      <c r="A1" s="4" t="s">
        <v>9</v>
      </c>
      <c r="B1" s="83" t="s">
        <v>91</v>
      </c>
      <c r="C1" s="83"/>
      <c r="D1" s="83"/>
      <c r="E1" s="83"/>
      <c r="F1" s="83"/>
      <c r="G1" s="83"/>
      <c r="H1" s="47"/>
      <c r="I1" s="84" t="s">
        <v>92</v>
      </c>
      <c r="J1" s="84"/>
      <c r="K1" s="84"/>
      <c r="P1" t="s">
        <v>33</v>
      </c>
    </row>
    <row r="2" spans="1:16" s="6" customFormat="1" ht="32.25" customHeight="1" thickBot="1" x14ac:dyDescent="0.3">
      <c r="A2" s="5" t="s">
        <v>0</v>
      </c>
      <c r="B2" s="6" t="s">
        <v>11</v>
      </c>
      <c r="C2" s="6" t="s">
        <v>90</v>
      </c>
      <c r="D2" s="6" t="s">
        <v>7</v>
      </c>
      <c r="E2" s="6" t="s">
        <v>10</v>
      </c>
      <c r="F2" s="6" t="s">
        <v>6</v>
      </c>
      <c r="G2" s="6" t="s">
        <v>8</v>
      </c>
      <c r="H2" s="5" t="s">
        <v>173</v>
      </c>
      <c r="I2" s="6" t="s">
        <v>31</v>
      </c>
      <c r="J2" s="6" t="s">
        <v>12</v>
      </c>
      <c r="K2" s="30" t="s">
        <v>182</v>
      </c>
      <c r="L2" s="6" t="s">
        <v>16</v>
      </c>
      <c r="M2" s="6" t="s">
        <v>8</v>
      </c>
      <c r="N2" s="5" t="s">
        <v>173</v>
      </c>
      <c r="O2" s="6" t="s">
        <v>88</v>
      </c>
    </row>
    <row r="3" spans="1:16" ht="15.75" thickTop="1" x14ac:dyDescent="0.25">
      <c r="A3" s="4" t="s">
        <v>2</v>
      </c>
      <c r="B3">
        <v>53</v>
      </c>
      <c r="C3">
        <v>20</v>
      </c>
      <c r="D3">
        <v>120</v>
      </c>
      <c r="E3">
        <v>85</v>
      </c>
      <c r="F3">
        <v>58</v>
      </c>
      <c r="G3" s="22">
        <f t="shared" ref="G3:G14" si="0">SUM(B3:F3)</f>
        <v>336</v>
      </c>
      <c r="H3" s="68">
        <f>G3/60</f>
        <v>5.6</v>
      </c>
      <c r="I3" s="7">
        <v>334</v>
      </c>
      <c r="J3">
        <v>10</v>
      </c>
      <c r="K3">
        <v>2</v>
      </c>
      <c r="L3">
        <v>0</v>
      </c>
      <c r="M3" s="22">
        <f t="shared" ref="M3:M25" si="1">SUM(I3:L3)</f>
        <v>346</v>
      </c>
      <c r="N3" s="68">
        <f>M3/60</f>
        <v>5.7666666666666666</v>
      </c>
      <c r="O3" s="21">
        <f t="shared" ref="O3:O14" si="2">G3-M3</f>
        <v>-10</v>
      </c>
    </row>
    <row r="4" spans="1:16" x14ac:dyDescent="0.25">
      <c r="A4" s="4" t="s">
        <v>28</v>
      </c>
      <c r="B4">
        <v>53</v>
      </c>
      <c r="C4">
        <v>20</v>
      </c>
      <c r="D4">
        <v>120</v>
      </c>
      <c r="E4">
        <v>85</v>
      </c>
      <c r="F4">
        <v>58</v>
      </c>
      <c r="G4" s="22">
        <f t="shared" si="0"/>
        <v>336</v>
      </c>
      <c r="H4" s="68">
        <f t="shared" ref="H4:H26" si="3">G4/60</f>
        <v>5.6</v>
      </c>
      <c r="I4" s="7">
        <v>242</v>
      </c>
      <c r="J4">
        <v>10</v>
      </c>
      <c r="K4">
        <v>2</v>
      </c>
      <c r="L4">
        <v>0</v>
      </c>
      <c r="M4" s="22">
        <f t="shared" si="1"/>
        <v>254</v>
      </c>
      <c r="N4" s="107">
        <f t="shared" ref="N4:N25" si="4">M4/60</f>
        <v>4.2333333333333334</v>
      </c>
      <c r="O4">
        <f t="shared" si="2"/>
        <v>82</v>
      </c>
    </row>
    <row r="5" spans="1:16" x14ac:dyDescent="0.25">
      <c r="A5" s="4" t="s">
        <v>1</v>
      </c>
      <c r="B5">
        <v>53</v>
      </c>
      <c r="C5">
        <v>20</v>
      </c>
      <c r="D5">
        <v>120</v>
      </c>
      <c r="E5">
        <v>80</v>
      </c>
      <c r="F5">
        <v>42</v>
      </c>
      <c r="G5" s="22">
        <f t="shared" si="0"/>
        <v>315</v>
      </c>
      <c r="H5" s="68">
        <f t="shared" si="3"/>
        <v>5.25</v>
      </c>
      <c r="I5" s="7">
        <v>181</v>
      </c>
      <c r="J5">
        <v>10</v>
      </c>
      <c r="K5">
        <v>2</v>
      </c>
      <c r="L5">
        <v>0</v>
      </c>
      <c r="M5" s="22">
        <f t="shared" si="1"/>
        <v>193</v>
      </c>
      <c r="N5" s="107">
        <f t="shared" si="4"/>
        <v>3.2166666666666668</v>
      </c>
      <c r="O5">
        <f t="shared" si="2"/>
        <v>122</v>
      </c>
    </row>
    <row r="6" spans="1:16" x14ac:dyDescent="0.25">
      <c r="A6" s="4" t="s">
        <v>29</v>
      </c>
      <c r="B6">
        <v>53</v>
      </c>
      <c r="C6">
        <v>20</v>
      </c>
      <c r="D6">
        <v>120</v>
      </c>
      <c r="E6">
        <v>80</v>
      </c>
      <c r="F6">
        <v>42</v>
      </c>
      <c r="G6" s="22">
        <f t="shared" si="0"/>
        <v>315</v>
      </c>
      <c r="H6" s="68">
        <f t="shared" si="3"/>
        <v>5.25</v>
      </c>
      <c r="I6" s="7">
        <v>254</v>
      </c>
      <c r="J6">
        <v>10</v>
      </c>
      <c r="K6">
        <v>2</v>
      </c>
      <c r="L6">
        <v>0</v>
      </c>
      <c r="M6" s="22">
        <f t="shared" si="1"/>
        <v>266</v>
      </c>
      <c r="N6" s="107">
        <f t="shared" si="4"/>
        <v>4.4333333333333336</v>
      </c>
      <c r="O6">
        <f t="shared" si="2"/>
        <v>49</v>
      </c>
    </row>
    <row r="7" spans="1:16" x14ac:dyDescent="0.25">
      <c r="A7" s="4" t="s">
        <v>89</v>
      </c>
      <c r="B7">
        <v>53</v>
      </c>
      <c r="C7">
        <v>20</v>
      </c>
      <c r="D7">
        <v>120</v>
      </c>
      <c r="E7">
        <v>100</v>
      </c>
      <c r="F7">
        <v>35</v>
      </c>
      <c r="G7" s="22">
        <f t="shared" si="0"/>
        <v>328</v>
      </c>
      <c r="H7" s="68">
        <f t="shared" si="3"/>
        <v>5.4666666666666668</v>
      </c>
      <c r="I7">
        <v>300</v>
      </c>
      <c r="J7">
        <v>10</v>
      </c>
      <c r="K7">
        <v>2</v>
      </c>
      <c r="L7">
        <v>0</v>
      </c>
      <c r="M7" s="22">
        <f>SUM(I7:L7)</f>
        <v>312</v>
      </c>
      <c r="N7" s="107">
        <f t="shared" si="4"/>
        <v>5.2</v>
      </c>
      <c r="O7">
        <f t="shared" si="2"/>
        <v>16</v>
      </c>
    </row>
    <row r="8" spans="1:16" x14ac:dyDescent="0.25">
      <c r="A8" s="4" t="s">
        <v>13</v>
      </c>
      <c r="B8">
        <v>53</v>
      </c>
      <c r="C8">
        <v>20</v>
      </c>
      <c r="D8">
        <v>120</v>
      </c>
      <c r="E8">
        <v>90</v>
      </c>
      <c r="F8">
        <v>47</v>
      </c>
      <c r="G8" s="22">
        <f t="shared" si="0"/>
        <v>330</v>
      </c>
      <c r="H8" s="68">
        <f t="shared" si="3"/>
        <v>5.5</v>
      </c>
      <c r="I8" s="7">
        <v>300</v>
      </c>
      <c r="J8">
        <v>10</v>
      </c>
      <c r="K8">
        <v>2</v>
      </c>
      <c r="L8">
        <v>0</v>
      </c>
      <c r="M8" s="22">
        <f t="shared" si="1"/>
        <v>312</v>
      </c>
      <c r="N8" s="107">
        <f t="shared" si="4"/>
        <v>5.2</v>
      </c>
      <c r="O8">
        <f t="shared" si="2"/>
        <v>18</v>
      </c>
    </row>
    <row r="9" spans="1:16" x14ac:dyDescent="0.25">
      <c r="A9" s="4" t="s">
        <v>30</v>
      </c>
      <c r="B9">
        <v>53</v>
      </c>
      <c r="C9">
        <v>20</v>
      </c>
      <c r="D9">
        <v>120</v>
      </c>
      <c r="E9">
        <v>90</v>
      </c>
      <c r="F9">
        <v>47</v>
      </c>
      <c r="G9" s="22">
        <f t="shared" si="0"/>
        <v>330</v>
      </c>
      <c r="H9" s="68">
        <f t="shared" si="3"/>
        <v>5.5</v>
      </c>
      <c r="I9" s="7">
        <v>335</v>
      </c>
      <c r="J9">
        <v>10</v>
      </c>
      <c r="K9">
        <v>2</v>
      </c>
      <c r="L9">
        <v>0</v>
      </c>
      <c r="M9" s="22">
        <f t="shared" si="1"/>
        <v>347</v>
      </c>
      <c r="N9" s="107">
        <f t="shared" si="4"/>
        <v>5.7833333333333332</v>
      </c>
      <c r="O9" s="21">
        <f t="shared" si="2"/>
        <v>-17</v>
      </c>
    </row>
    <row r="10" spans="1:16" x14ac:dyDescent="0.25">
      <c r="A10" s="4" t="s">
        <v>14</v>
      </c>
      <c r="B10">
        <v>53</v>
      </c>
      <c r="C10">
        <v>20</v>
      </c>
      <c r="D10">
        <v>120</v>
      </c>
      <c r="E10">
        <v>75</v>
      </c>
      <c r="F10">
        <v>33</v>
      </c>
      <c r="G10" s="22">
        <f t="shared" si="0"/>
        <v>301</v>
      </c>
      <c r="H10" s="68">
        <f t="shared" si="3"/>
        <v>5.0166666666666666</v>
      </c>
      <c r="I10" s="7">
        <v>238</v>
      </c>
      <c r="J10">
        <v>10</v>
      </c>
      <c r="K10">
        <v>2</v>
      </c>
      <c r="L10">
        <v>0</v>
      </c>
      <c r="M10" s="22">
        <f t="shared" si="1"/>
        <v>250</v>
      </c>
      <c r="N10" s="107">
        <f t="shared" si="4"/>
        <v>4.166666666666667</v>
      </c>
      <c r="O10">
        <f t="shared" si="2"/>
        <v>51</v>
      </c>
    </row>
    <row r="11" spans="1:16" x14ac:dyDescent="0.25">
      <c r="A11" s="4" t="s">
        <v>32</v>
      </c>
      <c r="B11">
        <v>53</v>
      </c>
      <c r="C11">
        <v>20</v>
      </c>
      <c r="D11">
        <v>120</v>
      </c>
      <c r="E11">
        <v>75</v>
      </c>
      <c r="F11">
        <v>33</v>
      </c>
      <c r="G11" s="22">
        <f t="shared" si="0"/>
        <v>301</v>
      </c>
      <c r="H11" s="68">
        <f t="shared" si="3"/>
        <v>5.0166666666666666</v>
      </c>
      <c r="I11">
        <v>280</v>
      </c>
      <c r="J11">
        <v>10</v>
      </c>
      <c r="K11">
        <v>2</v>
      </c>
      <c r="L11">
        <v>0</v>
      </c>
      <c r="M11" s="22">
        <f t="shared" si="1"/>
        <v>292</v>
      </c>
      <c r="N11" s="107">
        <f t="shared" si="4"/>
        <v>4.8666666666666663</v>
      </c>
      <c r="O11">
        <f t="shared" si="2"/>
        <v>9</v>
      </c>
    </row>
    <row r="12" spans="1:16" x14ac:dyDescent="0.25">
      <c r="A12" s="48" t="s">
        <v>34</v>
      </c>
      <c r="B12">
        <v>53</v>
      </c>
      <c r="C12">
        <v>20</v>
      </c>
      <c r="D12">
        <v>120</v>
      </c>
      <c r="E12">
        <v>100</v>
      </c>
      <c r="F12">
        <v>33</v>
      </c>
      <c r="G12" s="22">
        <f t="shared" si="0"/>
        <v>326</v>
      </c>
      <c r="H12" s="68">
        <f t="shared" si="3"/>
        <v>5.4333333333333336</v>
      </c>
      <c r="I12" s="7">
        <v>485</v>
      </c>
      <c r="J12">
        <v>10</v>
      </c>
      <c r="K12">
        <v>2</v>
      </c>
      <c r="L12">
        <v>0</v>
      </c>
      <c r="M12" s="22">
        <f t="shared" si="1"/>
        <v>497</v>
      </c>
      <c r="N12" s="68">
        <f t="shared" si="4"/>
        <v>8.2833333333333332</v>
      </c>
      <c r="O12" s="21">
        <f t="shared" si="2"/>
        <v>-171</v>
      </c>
    </row>
    <row r="13" spans="1:16" x14ac:dyDescent="0.25">
      <c r="A13" s="48" t="s">
        <v>35</v>
      </c>
      <c r="B13">
        <v>53</v>
      </c>
      <c r="C13">
        <v>20</v>
      </c>
      <c r="D13">
        <v>120</v>
      </c>
      <c r="E13">
        <v>100</v>
      </c>
      <c r="F13">
        <v>62</v>
      </c>
      <c r="G13" s="22">
        <f t="shared" si="0"/>
        <v>355</v>
      </c>
      <c r="H13" s="68">
        <f t="shared" si="3"/>
        <v>5.916666666666667</v>
      </c>
      <c r="I13" s="7">
        <v>460</v>
      </c>
      <c r="J13">
        <v>10</v>
      </c>
      <c r="K13">
        <v>2</v>
      </c>
      <c r="L13">
        <v>0</v>
      </c>
      <c r="M13" s="22">
        <f t="shared" si="1"/>
        <v>472</v>
      </c>
      <c r="N13" s="68">
        <f t="shared" si="4"/>
        <v>7.8666666666666663</v>
      </c>
      <c r="O13" s="21">
        <f t="shared" si="2"/>
        <v>-117</v>
      </c>
    </row>
    <row r="14" spans="1:16" x14ac:dyDescent="0.25">
      <c r="A14" s="48" t="s">
        <v>36</v>
      </c>
      <c r="B14">
        <v>53</v>
      </c>
      <c r="C14">
        <v>20</v>
      </c>
      <c r="D14">
        <v>120</v>
      </c>
      <c r="E14">
        <v>95</v>
      </c>
      <c r="F14">
        <v>39</v>
      </c>
      <c r="G14" s="22">
        <f t="shared" si="0"/>
        <v>327</v>
      </c>
      <c r="H14" s="68">
        <f t="shared" si="3"/>
        <v>5.45</v>
      </c>
      <c r="I14" s="7">
        <v>390</v>
      </c>
      <c r="J14">
        <v>10</v>
      </c>
      <c r="K14">
        <v>2</v>
      </c>
      <c r="L14">
        <v>0</v>
      </c>
      <c r="M14" s="22">
        <f t="shared" si="1"/>
        <v>402</v>
      </c>
      <c r="N14" s="68">
        <f t="shared" si="4"/>
        <v>6.7</v>
      </c>
      <c r="O14" s="21">
        <f t="shared" si="2"/>
        <v>-75</v>
      </c>
    </row>
    <row r="15" spans="1:16" x14ac:dyDescent="0.25">
      <c r="H15" s="68">
        <f t="shared" si="3"/>
        <v>0</v>
      </c>
      <c r="N15" s="68">
        <f t="shared" si="4"/>
        <v>0</v>
      </c>
      <c r="O15" s="21"/>
    </row>
    <row r="16" spans="1:16" x14ac:dyDescent="0.25">
      <c r="A16" s="4" t="s">
        <v>15</v>
      </c>
      <c r="B16">
        <v>10</v>
      </c>
      <c r="C16">
        <v>20</v>
      </c>
      <c r="D16">
        <v>120</v>
      </c>
      <c r="E16">
        <v>130</v>
      </c>
      <c r="G16" s="22">
        <f t="shared" ref="G16:G26" si="5">SUM(B16:F16)</f>
        <v>280</v>
      </c>
      <c r="H16" s="68">
        <f t="shared" si="3"/>
        <v>4.666666666666667</v>
      </c>
      <c r="J16" s="7">
        <v>10</v>
      </c>
      <c r="K16">
        <v>2</v>
      </c>
      <c r="M16" s="22">
        <f t="shared" si="1"/>
        <v>12</v>
      </c>
      <c r="N16" s="68">
        <f t="shared" si="4"/>
        <v>0.2</v>
      </c>
      <c r="O16" s="21"/>
    </row>
    <row r="17" spans="1:15" x14ac:dyDescent="0.25">
      <c r="A17" s="4" t="s">
        <v>17</v>
      </c>
      <c r="B17">
        <v>10</v>
      </c>
      <c r="C17">
        <v>20</v>
      </c>
      <c r="D17">
        <v>120</v>
      </c>
      <c r="E17">
        <v>115</v>
      </c>
      <c r="G17" s="22">
        <f t="shared" si="5"/>
        <v>265</v>
      </c>
      <c r="H17" s="68">
        <f t="shared" si="3"/>
        <v>4.416666666666667</v>
      </c>
      <c r="I17" s="7">
        <v>510</v>
      </c>
      <c r="J17" s="7">
        <v>10</v>
      </c>
      <c r="K17">
        <v>2</v>
      </c>
      <c r="L17">
        <v>0</v>
      </c>
      <c r="M17" s="22">
        <f t="shared" si="1"/>
        <v>522</v>
      </c>
      <c r="N17" s="68">
        <f t="shared" si="4"/>
        <v>8.6999999999999993</v>
      </c>
      <c r="O17" s="21">
        <f>G17-M17</f>
        <v>-257</v>
      </c>
    </row>
    <row r="18" spans="1:15" x14ac:dyDescent="0.25">
      <c r="A18" s="4" t="s">
        <v>18</v>
      </c>
      <c r="B18">
        <v>10</v>
      </c>
      <c r="C18">
        <v>20</v>
      </c>
      <c r="D18">
        <v>120</v>
      </c>
      <c r="E18">
        <v>180</v>
      </c>
      <c r="G18" s="22">
        <f t="shared" si="5"/>
        <v>330</v>
      </c>
      <c r="H18" s="68">
        <f t="shared" si="3"/>
        <v>5.5</v>
      </c>
      <c r="J18" s="7">
        <v>10</v>
      </c>
      <c r="K18">
        <v>2</v>
      </c>
      <c r="M18" s="22">
        <f t="shared" si="1"/>
        <v>12</v>
      </c>
      <c r="N18" s="68">
        <f t="shared" si="4"/>
        <v>0.2</v>
      </c>
      <c r="O18" s="21"/>
    </row>
    <row r="19" spans="1:15" x14ac:dyDescent="0.25">
      <c r="A19" s="4" t="s">
        <v>19</v>
      </c>
      <c r="B19">
        <v>10</v>
      </c>
      <c r="C19">
        <v>20</v>
      </c>
      <c r="D19">
        <v>120</v>
      </c>
      <c r="E19">
        <v>85</v>
      </c>
      <c r="G19" s="22">
        <f t="shared" si="5"/>
        <v>235</v>
      </c>
      <c r="H19" s="68">
        <f t="shared" si="3"/>
        <v>3.9166666666666665</v>
      </c>
      <c r="I19" s="7">
        <v>760</v>
      </c>
      <c r="J19" s="7">
        <v>10</v>
      </c>
      <c r="K19">
        <v>2</v>
      </c>
      <c r="L19">
        <v>0</v>
      </c>
      <c r="M19" s="22">
        <f t="shared" si="1"/>
        <v>772</v>
      </c>
      <c r="N19" s="68">
        <f t="shared" si="4"/>
        <v>12.866666666666667</v>
      </c>
      <c r="O19" s="21">
        <f>G19-M19</f>
        <v>-537</v>
      </c>
    </row>
    <row r="20" spans="1:15" x14ac:dyDescent="0.25">
      <c r="A20" s="4" t="s">
        <v>20</v>
      </c>
      <c r="B20">
        <v>10</v>
      </c>
      <c r="C20">
        <v>20</v>
      </c>
      <c r="D20">
        <v>120</v>
      </c>
      <c r="E20">
        <v>85</v>
      </c>
      <c r="G20" s="22">
        <f t="shared" si="5"/>
        <v>235</v>
      </c>
      <c r="H20" s="68">
        <f t="shared" si="3"/>
        <v>3.9166666666666665</v>
      </c>
      <c r="J20" s="7">
        <v>10</v>
      </c>
      <c r="K20">
        <v>2</v>
      </c>
      <c r="M20" s="22">
        <f t="shared" si="1"/>
        <v>12</v>
      </c>
      <c r="N20" s="68">
        <f>M20/60</f>
        <v>0.2</v>
      </c>
      <c r="O20" s="21"/>
    </row>
    <row r="21" spans="1:15" x14ac:dyDescent="0.25">
      <c r="A21" s="4" t="s">
        <v>21</v>
      </c>
      <c r="B21">
        <v>10</v>
      </c>
      <c r="C21">
        <v>20</v>
      </c>
      <c r="D21">
        <v>120</v>
      </c>
      <c r="E21">
        <v>125</v>
      </c>
      <c r="G21" s="22">
        <f t="shared" si="5"/>
        <v>275</v>
      </c>
      <c r="H21" s="68">
        <f t="shared" si="3"/>
        <v>4.583333333333333</v>
      </c>
      <c r="J21" s="7">
        <v>10</v>
      </c>
      <c r="K21">
        <v>2</v>
      </c>
      <c r="M21" s="22">
        <f t="shared" si="1"/>
        <v>12</v>
      </c>
      <c r="N21" s="68">
        <f t="shared" si="4"/>
        <v>0.2</v>
      </c>
      <c r="O21" s="21"/>
    </row>
    <row r="22" spans="1:15" x14ac:dyDescent="0.25">
      <c r="A22" s="4" t="s">
        <v>22</v>
      </c>
      <c r="B22">
        <v>10</v>
      </c>
      <c r="C22">
        <v>20</v>
      </c>
      <c r="D22">
        <v>120</v>
      </c>
      <c r="E22">
        <v>165</v>
      </c>
      <c r="G22" s="22">
        <f t="shared" si="5"/>
        <v>315</v>
      </c>
      <c r="H22" s="68">
        <f t="shared" si="3"/>
        <v>5.25</v>
      </c>
      <c r="J22" s="7">
        <v>10</v>
      </c>
      <c r="K22">
        <v>2</v>
      </c>
      <c r="M22" s="22">
        <f t="shared" si="1"/>
        <v>12</v>
      </c>
      <c r="N22" s="68">
        <f t="shared" si="4"/>
        <v>0.2</v>
      </c>
      <c r="O22" s="21"/>
    </row>
    <row r="23" spans="1:15" x14ac:dyDescent="0.25">
      <c r="A23" s="4" t="s">
        <v>23</v>
      </c>
      <c r="B23">
        <v>10</v>
      </c>
      <c r="C23">
        <v>20</v>
      </c>
      <c r="D23">
        <v>120</v>
      </c>
      <c r="E23">
        <v>150</v>
      </c>
      <c r="G23" s="22">
        <f t="shared" si="5"/>
        <v>300</v>
      </c>
      <c r="H23" s="68">
        <f t="shared" si="3"/>
        <v>5</v>
      </c>
      <c r="J23" s="7">
        <v>10</v>
      </c>
      <c r="K23">
        <v>2</v>
      </c>
      <c r="M23" s="22">
        <f t="shared" si="1"/>
        <v>12</v>
      </c>
      <c r="N23" s="68">
        <f t="shared" si="4"/>
        <v>0.2</v>
      </c>
      <c r="O23" s="21"/>
    </row>
    <row r="24" spans="1:15" x14ac:dyDescent="0.25">
      <c r="A24" s="4" t="s">
        <v>24</v>
      </c>
      <c r="B24">
        <v>10</v>
      </c>
      <c r="C24">
        <v>20</v>
      </c>
      <c r="D24">
        <v>120</v>
      </c>
      <c r="E24">
        <v>80</v>
      </c>
      <c r="G24" s="22">
        <f t="shared" si="5"/>
        <v>230</v>
      </c>
      <c r="H24" s="68">
        <f t="shared" si="3"/>
        <v>3.8333333333333335</v>
      </c>
      <c r="I24" s="7">
        <v>330</v>
      </c>
      <c r="J24" s="7">
        <v>10</v>
      </c>
      <c r="K24">
        <v>2</v>
      </c>
      <c r="L24">
        <v>0</v>
      </c>
      <c r="M24" s="22">
        <f t="shared" si="1"/>
        <v>342</v>
      </c>
      <c r="N24" s="68">
        <f t="shared" si="4"/>
        <v>5.7</v>
      </c>
      <c r="O24" s="21">
        <f>G24-M24</f>
        <v>-112</v>
      </c>
    </row>
    <row r="25" spans="1:15" x14ac:dyDescent="0.25">
      <c r="A25" s="4" t="s">
        <v>25</v>
      </c>
      <c r="B25">
        <v>10</v>
      </c>
      <c r="C25">
        <v>20</v>
      </c>
      <c r="D25">
        <v>120</v>
      </c>
      <c r="E25">
        <v>210</v>
      </c>
      <c r="G25" s="22">
        <f t="shared" si="5"/>
        <v>360</v>
      </c>
      <c r="H25" s="68">
        <f t="shared" si="3"/>
        <v>6</v>
      </c>
      <c r="J25" s="7">
        <v>10</v>
      </c>
      <c r="K25">
        <v>2</v>
      </c>
      <c r="M25" s="22">
        <f t="shared" si="1"/>
        <v>12</v>
      </c>
      <c r="N25" s="68">
        <f t="shared" si="4"/>
        <v>0.2</v>
      </c>
      <c r="O25" s="21"/>
    </row>
    <row r="26" spans="1:15" x14ac:dyDescent="0.25">
      <c r="A26" s="4" t="s">
        <v>26</v>
      </c>
      <c r="B26">
        <v>10</v>
      </c>
      <c r="C26">
        <v>20</v>
      </c>
      <c r="D26">
        <v>120</v>
      </c>
      <c r="E26">
        <v>190</v>
      </c>
      <c r="G26" s="22">
        <f t="shared" si="5"/>
        <v>340</v>
      </c>
      <c r="H26" s="68">
        <f t="shared" si="3"/>
        <v>5.666666666666667</v>
      </c>
    </row>
    <row r="29" spans="1:15" x14ac:dyDescent="0.25">
      <c r="A29" s="4" t="s">
        <v>170</v>
      </c>
      <c r="O29" s="36">
        <f>AVERAGE(O3:O14)</f>
        <v>-3.5833333333333335</v>
      </c>
    </row>
    <row r="30" spans="1:15" x14ac:dyDescent="0.25">
      <c r="A30" s="4" t="s">
        <v>171</v>
      </c>
      <c r="O30" s="21">
        <f>AVERAGE(O4,O6,O9,O11,O12:O14,O7)</f>
        <v>-28</v>
      </c>
    </row>
    <row r="31" spans="1:15" x14ac:dyDescent="0.25">
      <c r="A31" s="4" t="s">
        <v>172</v>
      </c>
      <c r="O31" s="16">
        <f>AVERAGE(O3,O5,O8,O10)</f>
        <v>45.25</v>
      </c>
    </row>
    <row r="32" spans="1:15" x14ac:dyDescent="0.25">
      <c r="A32" s="4" t="s">
        <v>177</v>
      </c>
      <c r="O32" s="16">
        <f>AVERAGE(O4,O5,O6,O7,O8,O10,O11)</f>
        <v>49.571428571428569</v>
      </c>
    </row>
  </sheetData>
  <mergeCells count="2">
    <mergeCell ref="B1:G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workbookViewId="0">
      <selection activeCell="H4" sqref="H4"/>
    </sheetView>
  </sheetViews>
  <sheetFormatPr baseColWidth="10" defaultRowHeight="15" x14ac:dyDescent="0.25"/>
  <cols>
    <col min="1" max="1" width="24.42578125" customWidth="1"/>
    <col min="2" max="2" width="16.28515625" style="9" customWidth="1"/>
    <col min="3" max="3" width="11.42578125" style="9"/>
    <col min="4" max="4" width="8.5703125" bestFit="1" customWidth="1"/>
    <col min="5" max="5" width="7.42578125" bestFit="1" customWidth="1"/>
    <col min="6" max="6" width="25.5703125" style="15" bestFit="1" customWidth="1"/>
    <col min="7" max="7" width="25.5703125" style="9" bestFit="1" customWidth="1"/>
    <col min="8" max="8" width="26.5703125" bestFit="1" customWidth="1"/>
    <col min="9" max="9" width="9.42578125" customWidth="1"/>
    <col min="14" max="14" width="24.140625" customWidth="1"/>
  </cols>
  <sheetData>
    <row r="1" spans="1:13" ht="16.5" thickBot="1" x14ac:dyDescent="0.3">
      <c r="A1" s="22" t="s">
        <v>126</v>
      </c>
      <c r="B1" s="50" t="s">
        <v>73</v>
      </c>
      <c r="C1" s="50" t="s">
        <v>77</v>
      </c>
      <c r="D1" s="85" t="s">
        <v>79</v>
      </c>
      <c r="E1" s="86"/>
      <c r="F1" s="86"/>
      <c r="G1" s="87"/>
      <c r="H1" s="88" t="s">
        <v>8</v>
      </c>
      <c r="I1" s="89"/>
      <c r="J1" s="49"/>
      <c r="K1" s="49"/>
      <c r="L1" s="49"/>
      <c r="M1" s="49"/>
    </row>
    <row r="2" spans="1:13" s="11" customFormat="1" ht="15.75" thickBot="1" x14ac:dyDescent="0.3">
      <c r="B2" s="12"/>
      <c r="C2" s="12" t="s">
        <v>80</v>
      </c>
      <c r="D2" s="63" t="s">
        <v>74</v>
      </c>
      <c r="E2" s="64" t="s">
        <v>75</v>
      </c>
      <c r="F2" s="65" t="s">
        <v>127</v>
      </c>
      <c r="G2" s="66" t="s">
        <v>128</v>
      </c>
      <c r="H2" s="51" t="s">
        <v>129</v>
      </c>
      <c r="I2" s="11" t="s">
        <v>76</v>
      </c>
      <c r="J2" s="11" t="s">
        <v>76</v>
      </c>
      <c r="M2" s="51" t="s">
        <v>130</v>
      </c>
    </row>
    <row r="3" spans="1:13" ht="15.75" thickTop="1" x14ac:dyDescent="0.25">
      <c r="A3" t="s">
        <v>2</v>
      </c>
      <c r="B3" s="9" t="s">
        <v>71</v>
      </c>
      <c r="C3" s="9">
        <v>30</v>
      </c>
      <c r="D3" s="8">
        <v>60</v>
      </c>
      <c r="E3" s="8">
        <v>60</v>
      </c>
      <c r="F3" s="14">
        <v>60</v>
      </c>
      <c r="G3" s="13">
        <v>60</v>
      </c>
      <c r="H3" s="7">
        <f>D3*E3/1000</f>
        <v>3.6</v>
      </c>
      <c r="I3" s="8">
        <f>C3+G3</f>
        <v>90</v>
      </c>
      <c r="J3" s="16">
        <f>AVERAGE(H3,I3)</f>
        <v>46.8</v>
      </c>
      <c r="K3">
        <f>J3*D3/1000</f>
        <v>2.8079999999999998</v>
      </c>
      <c r="M3">
        <f>L3*D3/1000</f>
        <v>0</v>
      </c>
    </row>
    <row r="4" spans="1:13" x14ac:dyDescent="0.25">
      <c r="B4" s="9" t="s">
        <v>72</v>
      </c>
      <c r="C4" s="9">
        <v>42</v>
      </c>
      <c r="D4" s="8">
        <f>(14*8.5+2*15+20)/17</f>
        <v>9.9411764705882355</v>
      </c>
      <c r="E4" s="8">
        <f>(7.5*10+7.5*20+2*15+4*20)/21</f>
        <v>15.952380952380953</v>
      </c>
      <c r="F4" s="14">
        <f>(4*20+9*15+5*20)/19</f>
        <v>16.578947368421051</v>
      </c>
      <c r="G4" s="10">
        <f>(5*D4+E4+F4)/7</f>
        <v>11.748172953391883</v>
      </c>
      <c r="H4" s="16">
        <f>C4+5</f>
        <v>47</v>
      </c>
      <c r="I4" s="16">
        <f>C4+G4</f>
        <v>53.748172953391887</v>
      </c>
      <c r="J4" s="16">
        <f>AVERAGE(H4,I4)</f>
        <v>50.374086476695943</v>
      </c>
    </row>
    <row r="5" spans="1:13" x14ac:dyDescent="0.25">
      <c r="B5" s="9" t="s">
        <v>76</v>
      </c>
      <c r="J5" s="16">
        <f>AVERAGE(J3:J4)</f>
        <v>48.587043238347974</v>
      </c>
    </row>
    <row r="7" spans="1:13" x14ac:dyDescent="0.25">
      <c r="A7" t="s">
        <v>78</v>
      </c>
      <c r="B7" s="9" t="s">
        <v>71</v>
      </c>
      <c r="C7" s="9">
        <v>20</v>
      </c>
      <c r="D7">
        <v>60</v>
      </c>
      <c r="E7">
        <v>60</v>
      </c>
      <c r="F7" s="15">
        <v>60</v>
      </c>
      <c r="G7" s="9">
        <v>60</v>
      </c>
      <c r="H7">
        <f>5+C7</f>
        <v>25</v>
      </c>
      <c r="I7">
        <f>G7+C7</f>
        <v>80</v>
      </c>
      <c r="J7" s="16">
        <f>AVERAGE(H7:I7)</f>
        <v>52.5</v>
      </c>
    </row>
    <row r="9" spans="1:13" x14ac:dyDescent="0.25">
      <c r="A9" t="s">
        <v>1</v>
      </c>
      <c r="B9" s="9" t="s">
        <v>81</v>
      </c>
      <c r="C9" s="9">
        <v>30</v>
      </c>
      <c r="D9" s="16">
        <f>(5*30+14*15)/19</f>
        <v>18.94736842105263</v>
      </c>
      <c r="E9" s="16">
        <f t="shared" ref="E9:F9" si="0">(5*30+14*15)/19</f>
        <v>18.94736842105263</v>
      </c>
      <c r="F9" s="19">
        <f t="shared" si="0"/>
        <v>18.94736842105263</v>
      </c>
      <c r="G9" s="17">
        <f>(5*30+14*15)/19</f>
        <v>18.94736842105263</v>
      </c>
      <c r="H9" s="18">
        <f>5+C9</f>
        <v>35</v>
      </c>
      <c r="I9" s="16">
        <f>D9+C9</f>
        <v>48.94736842105263</v>
      </c>
      <c r="J9" s="16">
        <f>AVERAGE(H9:I9)</f>
        <v>41.973684210526315</v>
      </c>
    </row>
    <row r="11" spans="1:13" x14ac:dyDescent="0.25">
      <c r="A11" t="s">
        <v>3</v>
      </c>
      <c r="B11" s="9" t="s">
        <v>84</v>
      </c>
      <c r="C11" s="9">
        <v>25</v>
      </c>
      <c r="G11" s="17">
        <f>(12*10+30+8*20)/21</f>
        <v>14.761904761904763</v>
      </c>
      <c r="H11">
        <f>5+C11</f>
        <v>30</v>
      </c>
      <c r="I11" s="16">
        <f>G11+C11</f>
        <v>39.761904761904759</v>
      </c>
      <c r="J11" s="16">
        <f>AVERAGE(H11:I11)</f>
        <v>34.88095238095238</v>
      </c>
    </row>
    <row r="13" spans="1:13" ht="26.25" customHeight="1" x14ac:dyDescent="0.25">
      <c r="A13" s="1" t="s">
        <v>83</v>
      </c>
      <c r="B13" s="9" t="s">
        <v>82</v>
      </c>
      <c r="C13" s="9">
        <v>25</v>
      </c>
      <c r="G13" s="9">
        <f>(3*60+12*30)/15</f>
        <v>36</v>
      </c>
      <c r="H13">
        <f>5+C13</f>
        <v>30</v>
      </c>
      <c r="I13">
        <f>C13+G13</f>
        <v>61</v>
      </c>
      <c r="J13" s="16"/>
    </row>
    <row r="15" spans="1:13" x14ac:dyDescent="0.25">
      <c r="A15" t="s">
        <v>14</v>
      </c>
      <c r="B15" s="9" t="s">
        <v>84</v>
      </c>
      <c r="C15" s="9">
        <v>20</v>
      </c>
      <c r="D15">
        <v>20</v>
      </c>
      <c r="E15">
        <v>20</v>
      </c>
      <c r="F15" s="15">
        <v>30</v>
      </c>
      <c r="G15" s="17">
        <f>(6*20+30)/7</f>
        <v>21.428571428571427</v>
      </c>
      <c r="H15">
        <f>5+C15</f>
        <v>25</v>
      </c>
      <c r="I15" s="16">
        <f>C15+G15</f>
        <v>41.428571428571431</v>
      </c>
      <c r="J15" s="16">
        <f>AVERAGE(H15:I15)</f>
        <v>33.214285714285715</v>
      </c>
    </row>
    <row r="17" spans="1:15" x14ac:dyDescent="0.25">
      <c r="A17" t="s">
        <v>4</v>
      </c>
      <c r="B17" s="9" t="s">
        <v>85</v>
      </c>
      <c r="C17" s="9">
        <v>24</v>
      </c>
      <c r="D17" s="16">
        <f>(2*20+13+12*8.5+10+20+2*25)/19</f>
        <v>12.368421052631579</v>
      </c>
      <c r="E17" s="16">
        <f>(2*30+20+12*8.5+2*20+30+2*40)/20</f>
        <v>16.600000000000001</v>
      </c>
      <c r="F17" s="19">
        <f>(5*10+6*15+3*20+2*25+30+2*40)/19</f>
        <v>18.94736842105263</v>
      </c>
      <c r="G17" s="17">
        <f>(5*D17+E17+F17)/7</f>
        <v>13.912781954887217</v>
      </c>
      <c r="H17">
        <f>5+C17</f>
        <v>29</v>
      </c>
      <c r="I17" s="16">
        <f>G17+C17</f>
        <v>37.912781954887215</v>
      </c>
      <c r="J17" s="16">
        <f>AVERAGE(H17:I17)</f>
        <v>33.456390977443604</v>
      </c>
    </row>
    <row r="19" spans="1:15" x14ac:dyDescent="0.25">
      <c r="A19" t="s">
        <v>5</v>
      </c>
      <c r="B19" s="9" t="s">
        <v>85</v>
      </c>
      <c r="C19" s="9">
        <v>35</v>
      </c>
      <c r="G19" s="9">
        <v>20</v>
      </c>
      <c r="H19">
        <f>5+C19</f>
        <v>40</v>
      </c>
      <c r="I19">
        <f>C19+G19</f>
        <v>55</v>
      </c>
      <c r="J19" s="16">
        <f>AVERAGE(H19:I19)</f>
        <v>47.5</v>
      </c>
    </row>
    <row r="20" spans="1:15" x14ac:dyDescent="0.25">
      <c r="B20" s="9" t="s">
        <v>84</v>
      </c>
      <c r="C20" s="9">
        <v>20</v>
      </c>
      <c r="D20">
        <v>16</v>
      </c>
      <c r="E20">
        <v>20</v>
      </c>
      <c r="F20" s="15">
        <v>20</v>
      </c>
      <c r="G20" s="17">
        <f>(5*D20+2*E20)/7</f>
        <v>17.142857142857142</v>
      </c>
      <c r="H20">
        <f>SUM(H3:H17)</f>
        <v>224.6</v>
      </c>
      <c r="I20" s="16">
        <f>G20+C20</f>
        <v>37.142857142857139</v>
      </c>
      <c r="J20" s="16">
        <f>AVERAGE(H20:I20)</f>
        <v>130.87142857142857</v>
      </c>
      <c r="K20">
        <f>SUM(K3:K17)</f>
        <v>2.8079999999999998</v>
      </c>
      <c r="M20">
        <f>SUM(M3:M17)</f>
        <v>0</v>
      </c>
      <c r="O20">
        <f>AVERAGE(K20,M20)</f>
        <v>1.4039999999999999</v>
      </c>
    </row>
    <row r="21" spans="1:15" x14ac:dyDescent="0.25">
      <c r="B21" s="9" t="s">
        <v>76</v>
      </c>
      <c r="H21" s="21">
        <f>SUM(H3:H11)</f>
        <v>140.6</v>
      </c>
      <c r="J21" s="16">
        <f>AVERAGE(J19:J20)</f>
        <v>89.185714285714283</v>
      </c>
      <c r="O21">
        <f>H21</f>
        <v>140.6</v>
      </c>
    </row>
    <row r="22" spans="1:15" x14ac:dyDescent="0.25">
      <c r="O22">
        <f>O21-O20</f>
        <v>139.196</v>
      </c>
    </row>
    <row r="23" spans="1:15" x14ac:dyDescent="0.25">
      <c r="A23" t="s">
        <v>86</v>
      </c>
      <c r="B23" s="9" t="s">
        <v>87</v>
      </c>
      <c r="C23" s="9">
        <v>25</v>
      </c>
      <c r="D23">
        <v>60</v>
      </c>
      <c r="E23">
        <v>60</v>
      </c>
      <c r="F23" s="15">
        <v>120</v>
      </c>
      <c r="G23" s="17">
        <f>(6*60+120)/7</f>
        <v>68.571428571428569</v>
      </c>
      <c r="H23">
        <f>5+C23</f>
        <v>30</v>
      </c>
      <c r="I23" s="16">
        <f>G23+C23</f>
        <v>93.571428571428569</v>
      </c>
      <c r="J23" s="16">
        <f>AVERAGE(H23:I23)</f>
        <v>61.785714285714285</v>
      </c>
    </row>
  </sheetData>
  <mergeCells count="2">
    <mergeCell ref="D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3" zoomScale="70" zoomScaleNormal="70" workbookViewId="0">
      <pane xSplit="1" topLeftCell="E1" activePane="topRight" state="frozen"/>
      <selection activeCell="J11" sqref="J11"/>
      <selection pane="topRight" activeCell="J20" sqref="J20"/>
    </sheetView>
  </sheetViews>
  <sheetFormatPr baseColWidth="10" defaultRowHeight="15" x14ac:dyDescent="0.25"/>
  <cols>
    <col min="1" max="1" width="34" style="4" customWidth="1"/>
    <col min="2" max="2" width="17.42578125" style="23" customWidth="1"/>
    <col min="3" max="3" width="18.140625" style="22" customWidth="1"/>
    <col min="4" max="4" width="15.140625" style="4" customWidth="1"/>
    <col min="5" max="5" width="22.42578125" style="34" customWidth="1"/>
    <col min="6" max="6" width="16.85546875" customWidth="1"/>
    <col min="7" max="7" width="17" customWidth="1"/>
    <col min="8" max="8" width="16.7109375" style="4" customWidth="1"/>
    <col min="9" max="9" width="9.42578125" customWidth="1"/>
    <col min="10" max="10" width="18.85546875" bestFit="1" customWidth="1"/>
    <col min="11" max="11" width="18.85546875" customWidth="1"/>
    <col min="12" max="12" width="18.5703125" style="9" customWidth="1"/>
    <col min="13" max="14" width="26.5703125" customWidth="1"/>
    <col min="15" max="15" width="18.85546875" style="9" bestFit="1" customWidth="1"/>
    <col min="16" max="16" width="19.85546875" style="22" customWidth="1"/>
    <col min="17" max="17" width="21" style="9" customWidth="1"/>
    <col min="19" max="19" width="37" customWidth="1"/>
  </cols>
  <sheetData>
    <row r="1" spans="1:18" ht="36.75" customHeight="1" thickBot="1" x14ac:dyDescent="0.4">
      <c r="A1" s="4" t="s">
        <v>126</v>
      </c>
      <c r="B1" s="90" t="s">
        <v>99</v>
      </c>
      <c r="C1" s="91"/>
      <c r="D1" s="92"/>
      <c r="E1" s="93" t="s">
        <v>96</v>
      </c>
      <c r="F1" s="94"/>
      <c r="G1" s="94"/>
      <c r="H1" s="95"/>
      <c r="I1" s="93" t="s">
        <v>131</v>
      </c>
      <c r="J1" s="94"/>
      <c r="K1" s="94"/>
      <c r="L1" s="94"/>
      <c r="M1" s="94"/>
      <c r="N1" s="94"/>
      <c r="O1" s="94"/>
      <c r="P1" s="94"/>
      <c r="Q1" s="100"/>
      <c r="R1" t="s">
        <v>105</v>
      </c>
    </row>
    <row r="2" spans="1:18" ht="33.75" customHeight="1" x14ac:dyDescent="0.35">
      <c r="A2" s="22"/>
      <c r="B2" s="72"/>
      <c r="C2" s="73"/>
      <c r="D2" s="74"/>
      <c r="E2" s="75"/>
      <c r="F2" s="69">
        <v>2017</v>
      </c>
      <c r="G2" s="69">
        <v>2019</v>
      </c>
      <c r="H2" s="76">
        <v>2021</v>
      </c>
      <c r="I2" s="96" t="s">
        <v>180</v>
      </c>
      <c r="J2" s="97"/>
      <c r="K2" s="69">
        <v>2019</v>
      </c>
      <c r="L2" s="82">
        <v>2021</v>
      </c>
      <c r="M2" s="69" t="s">
        <v>180</v>
      </c>
      <c r="N2" s="69">
        <v>2019</v>
      </c>
      <c r="O2" s="77">
        <v>2021</v>
      </c>
      <c r="P2" s="69">
        <v>2021</v>
      </c>
      <c r="Q2" s="77">
        <v>2019</v>
      </c>
    </row>
    <row r="3" spans="1:18" s="6" customFormat="1" ht="30.75" customHeight="1" thickBot="1" x14ac:dyDescent="0.3">
      <c r="B3" s="24">
        <v>2017</v>
      </c>
      <c r="C3" s="6">
        <v>2019</v>
      </c>
      <c r="D3" s="5">
        <v>2021</v>
      </c>
      <c r="E3" s="32" t="s">
        <v>104</v>
      </c>
      <c r="F3" s="30" t="s">
        <v>179</v>
      </c>
      <c r="G3" s="30" t="s">
        <v>179</v>
      </c>
      <c r="H3" s="35" t="s">
        <v>179</v>
      </c>
      <c r="I3" s="30" t="s">
        <v>139</v>
      </c>
      <c r="J3" s="30" t="s">
        <v>118</v>
      </c>
      <c r="K3" s="30" t="s">
        <v>181</v>
      </c>
      <c r="L3" s="37" t="s">
        <v>119</v>
      </c>
      <c r="M3" s="30" t="s">
        <v>117</v>
      </c>
      <c r="N3" s="30" t="s">
        <v>178</v>
      </c>
      <c r="O3" s="37" t="s">
        <v>178</v>
      </c>
      <c r="P3" s="98" t="s">
        <v>140</v>
      </c>
      <c r="Q3" s="99"/>
      <c r="R3" s="6" t="s">
        <v>124</v>
      </c>
    </row>
    <row r="4" spans="1:18" ht="15.75" thickTop="1" x14ac:dyDescent="0.25">
      <c r="A4" s="4" t="s">
        <v>2</v>
      </c>
      <c r="B4" s="23">
        <v>149997</v>
      </c>
      <c r="C4" s="22">
        <v>227815</v>
      </c>
      <c r="D4" s="4">
        <v>145339</v>
      </c>
      <c r="E4" s="33">
        <f>'Moy CO2 par destination'!D2</f>
        <v>117.85</v>
      </c>
      <c r="F4" s="18">
        <f>E4*B4/1000</f>
        <v>17677.14645</v>
      </c>
      <c r="G4" s="18">
        <f>E4*C4/1000</f>
        <v>26847.997749999999</v>
      </c>
      <c r="H4" s="29">
        <f>D4*E4/1000</f>
        <v>17128.201149999997</v>
      </c>
      <c r="I4">
        <v>812</v>
      </c>
      <c r="J4" s="38">
        <f>I4*2.4/1000</f>
        <v>1.9487999999999999</v>
      </c>
      <c r="K4" s="8">
        <f>J4*C4/1000</f>
        <v>443.96587199999999</v>
      </c>
      <c r="L4" s="10">
        <f t="shared" ref="L4:L10" si="0">J4*D4/1000</f>
        <v>283.2366432</v>
      </c>
      <c r="M4">
        <v>1.405</v>
      </c>
      <c r="N4" s="8">
        <f>M4*C4/1000</f>
        <v>320.08007500000002</v>
      </c>
      <c r="O4" s="10">
        <f>M4*D4/1000</f>
        <v>204.20129500000002</v>
      </c>
    </row>
    <row r="5" spans="1:18" x14ac:dyDescent="0.25">
      <c r="A5" s="4" t="s">
        <v>1</v>
      </c>
      <c r="B5" s="23">
        <v>74543</v>
      </c>
      <c r="C5" s="22">
        <v>86629</v>
      </c>
      <c r="D5" s="4">
        <v>50269</v>
      </c>
      <c r="E5" s="33">
        <f>'Moy CO2 par destination'!D3</f>
        <v>108.05</v>
      </c>
      <c r="F5" s="18">
        <f t="shared" ref="F5:F12" si="1">E5*B5/1000</f>
        <v>8054.371149999999</v>
      </c>
      <c r="G5" s="18">
        <f t="shared" ref="G5:G12" si="2">E5*C5/1000</f>
        <v>9360.2634499999986</v>
      </c>
      <c r="H5" s="29">
        <f t="shared" ref="H5:H12" si="3">D5*E5/1000</f>
        <v>5431.5654500000001</v>
      </c>
      <c r="I5">
        <v>645</v>
      </c>
      <c r="J5" s="38">
        <f>I5*2.4/1000</f>
        <v>1.548</v>
      </c>
      <c r="K5" s="8">
        <f t="shared" ref="K5:K12" si="4">J5*C5/1000</f>
        <v>134.10169200000001</v>
      </c>
      <c r="L5" s="10">
        <f t="shared" si="0"/>
        <v>77.816412</v>
      </c>
      <c r="M5">
        <v>1.1160000000000001</v>
      </c>
      <c r="N5" s="8">
        <f t="shared" ref="N5:N12" si="5">M5*C5/1000</f>
        <v>96.677964000000003</v>
      </c>
      <c r="O5" s="10">
        <f t="shared" ref="O5:O12" si="6">M5*D5/1000</f>
        <v>56.100204000000005</v>
      </c>
    </row>
    <row r="6" spans="1:18" x14ac:dyDescent="0.25">
      <c r="A6" s="4" t="s">
        <v>3</v>
      </c>
      <c r="B6" s="23">
        <v>217840</v>
      </c>
      <c r="C6" s="22">
        <v>220535</v>
      </c>
      <c r="D6" s="4">
        <v>128134</v>
      </c>
      <c r="E6" s="33">
        <f>'Moy CO2 par destination'!D4</f>
        <v>120.85</v>
      </c>
      <c r="F6" s="18">
        <f t="shared" si="1"/>
        <v>26325.964</v>
      </c>
      <c r="G6" s="18">
        <f>E6*C6/1000</f>
        <v>26651.654750000002</v>
      </c>
      <c r="H6" s="29">
        <f t="shared" si="3"/>
        <v>15484.993899999998</v>
      </c>
      <c r="I6">
        <v>965</v>
      </c>
      <c r="J6" s="38">
        <f>I6*2.4/1000</f>
        <v>2.3159999999999998</v>
      </c>
      <c r="K6" s="8">
        <f t="shared" si="4"/>
        <v>510.75905999999992</v>
      </c>
      <c r="L6" s="10">
        <f t="shared" si="0"/>
        <v>296.75834399999997</v>
      </c>
      <c r="M6">
        <v>1.671</v>
      </c>
      <c r="N6" s="8">
        <f t="shared" si="5"/>
        <v>368.51398499999999</v>
      </c>
      <c r="O6" s="10">
        <f t="shared" si="6"/>
        <v>214.11191400000001</v>
      </c>
    </row>
    <row r="7" spans="1:18" x14ac:dyDescent="0.25">
      <c r="A7" s="4" t="s">
        <v>13</v>
      </c>
      <c r="B7" s="23">
        <v>16890</v>
      </c>
      <c r="C7" s="7">
        <v>38431</v>
      </c>
      <c r="D7" s="4">
        <v>19836</v>
      </c>
      <c r="E7" s="33">
        <f>'Moy CO2 par destination'!D5</f>
        <v>87.9</v>
      </c>
      <c r="F7" s="18">
        <f t="shared" si="1"/>
        <v>1484.6310000000001</v>
      </c>
      <c r="G7" s="18">
        <f t="shared" si="2"/>
        <v>3378.0849000000003</v>
      </c>
      <c r="H7" s="29">
        <f t="shared" si="3"/>
        <v>1743.5844000000002</v>
      </c>
      <c r="I7">
        <v>954</v>
      </c>
      <c r="J7" s="38">
        <f t="shared" ref="J7:J12" si="7">I7*2.4/1000</f>
        <v>2.2896000000000001</v>
      </c>
      <c r="K7" s="8">
        <f t="shared" si="4"/>
        <v>87.991617599999998</v>
      </c>
      <c r="L7" s="10">
        <f t="shared" si="0"/>
        <v>45.416505600000001</v>
      </c>
      <c r="M7">
        <v>1.6519999999999999</v>
      </c>
      <c r="N7" s="8">
        <f t="shared" si="5"/>
        <v>63.488011999999998</v>
      </c>
      <c r="O7" s="10">
        <f t="shared" si="6"/>
        <v>32.769072000000001</v>
      </c>
    </row>
    <row r="8" spans="1:18" x14ac:dyDescent="0.25">
      <c r="A8" s="4" t="s">
        <v>14</v>
      </c>
      <c r="B8" s="23">
        <v>75629</v>
      </c>
      <c r="C8" s="7">
        <v>103874</v>
      </c>
      <c r="D8" s="4">
        <v>27954</v>
      </c>
      <c r="E8" s="33">
        <f>'Moy CO2 par destination'!D6</f>
        <v>96.3</v>
      </c>
      <c r="F8" s="18">
        <f t="shared" si="1"/>
        <v>7283.0727000000006</v>
      </c>
      <c r="G8" s="18">
        <f>E8*C8/1000</f>
        <v>10003.066199999999</v>
      </c>
      <c r="H8" s="29">
        <f t="shared" si="3"/>
        <v>2691.9701999999997</v>
      </c>
      <c r="I8">
        <v>661</v>
      </c>
      <c r="J8" s="38">
        <f t="shared" si="7"/>
        <v>1.5863999999999998</v>
      </c>
      <c r="K8" s="8">
        <f t="shared" si="4"/>
        <v>164.78571359999998</v>
      </c>
      <c r="L8" s="10">
        <f t="shared" si="0"/>
        <v>44.346225599999997</v>
      </c>
      <c r="M8">
        <v>1.1439999999999999</v>
      </c>
      <c r="N8" s="8">
        <f t="shared" si="5"/>
        <v>118.83185599999999</v>
      </c>
      <c r="O8" s="10">
        <f t="shared" si="6"/>
        <v>31.979375999999995</v>
      </c>
    </row>
    <row r="9" spans="1:18" ht="15" customHeight="1" x14ac:dyDescent="0.25">
      <c r="A9" s="4" t="s">
        <v>4</v>
      </c>
      <c r="B9" s="23">
        <v>286068</v>
      </c>
      <c r="C9" s="22">
        <v>312722</v>
      </c>
      <c r="D9" s="4">
        <v>241470</v>
      </c>
      <c r="E9" s="33">
        <f>'Moy CO2 par destination'!D7</f>
        <v>111.95</v>
      </c>
      <c r="F9" s="18">
        <f t="shared" si="1"/>
        <v>32025.312600000001</v>
      </c>
      <c r="G9" s="18">
        <f t="shared" si="2"/>
        <v>35009.227899999998</v>
      </c>
      <c r="H9" s="29">
        <f t="shared" si="3"/>
        <v>27032.566500000001</v>
      </c>
      <c r="I9">
        <f>225+971</f>
        <v>1196</v>
      </c>
      <c r="J9" s="38">
        <f t="shared" si="7"/>
        <v>2.8704000000000001</v>
      </c>
      <c r="K9" s="8">
        <f t="shared" si="4"/>
        <v>897.6372288</v>
      </c>
      <c r="L9" s="10">
        <f t="shared" si="0"/>
        <v>693.11548800000003</v>
      </c>
      <c r="M9">
        <f>0.39+1.681</f>
        <v>2.0710000000000002</v>
      </c>
      <c r="N9" s="8">
        <f t="shared" si="5"/>
        <v>647.64726200000007</v>
      </c>
      <c r="O9" s="10">
        <f t="shared" si="6"/>
        <v>500.08437000000004</v>
      </c>
      <c r="P9" s="60"/>
      <c r="Q9" s="44"/>
    </row>
    <row r="10" spans="1:18" x14ac:dyDescent="0.25">
      <c r="A10" s="4" t="s">
        <v>86</v>
      </c>
      <c r="B10" s="25" t="s">
        <v>98</v>
      </c>
      <c r="C10" s="26" t="s">
        <v>98</v>
      </c>
      <c r="D10" s="4">
        <v>15507</v>
      </c>
      <c r="E10" s="33">
        <f>'Moy CO2 par destination'!D8</f>
        <v>117</v>
      </c>
      <c r="F10" s="31" t="s">
        <v>98</v>
      </c>
      <c r="G10" s="31" t="s">
        <v>98</v>
      </c>
      <c r="H10" s="29">
        <f t="shared" si="3"/>
        <v>1814.319</v>
      </c>
      <c r="I10">
        <f>225+900</f>
        <v>1125</v>
      </c>
      <c r="J10" s="38">
        <f t="shared" si="7"/>
        <v>2.7</v>
      </c>
      <c r="K10" s="78" t="s">
        <v>98</v>
      </c>
      <c r="L10" s="10">
        <f t="shared" si="0"/>
        <v>41.868900000000004</v>
      </c>
      <c r="M10">
        <f>0.39+1.558</f>
        <v>1.948</v>
      </c>
      <c r="N10" s="78" t="s">
        <v>98</v>
      </c>
      <c r="O10" s="10">
        <f t="shared" si="6"/>
        <v>30.207635999999997</v>
      </c>
    </row>
    <row r="11" spans="1:18" x14ac:dyDescent="0.25">
      <c r="A11" s="4" t="s">
        <v>97</v>
      </c>
      <c r="B11" s="23">
        <v>26401</v>
      </c>
      <c r="C11" s="7">
        <v>10739</v>
      </c>
      <c r="D11" s="27" t="s">
        <v>98</v>
      </c>
      <c r="E11" s="33">
        <f>'Moy CO2 par destination'!D9</f>
        <v>60.424999999999997</v>
      </c>
      <c r="F11" s="18">
        <f t="shared" si="1"/>
        <v>1595.2804249999999</v>
      </c>
      <c r="G11" s="18">
        <f>E11*C11/1000</f>
        <v>648.90407499999992</v>
      </c>
      <c r="H11" s="29">
        <f>C11*E11/1000</f>
        <v>648.90407499999992</v>
      </c>
      <c r="I11">
        <f>225+450</f>
        <v>675</v>
      </c>
      <c r="J11" s="38">
        <f t="shared" si="7"/>
        <v>1.62</v>
      </c>
      <c r="K11" s="8">
        <f>J11*C11/1000</f>
        <v>17.397179999999999</v>
      </c>
      <c r="L11" s="10">
        <f>J11*C11/1000</f>
        <v>17.397179999999999</v>
      </c>
      <c r="M11">
        <f>0.39+0.78</f>
        <v>1.17</v>
      </c>
      <c r="N11" s="8">
        <f t="shared" si="5"/>
        <v>12.564629999999999</v>
      </c>
      <c r="O11" s="10">
        <f>M11*C11/1000</f>
        <v>12.564629999999999</v>
      </c>
    </row>
    <row r="12" spans="1:18" x14ac:dyDescent="0.25">
      <c r="A12" s="4" t="s">
        <v>5</v>
      </c>
      <c r="B12" s="23">
        <v>203732</v>
      </c>
      <c r="C12" s="22">
        <v>234307</v>
      </c>
      <c r="D12" s="4">
        <v>149307</v>
      </c>
      <c r="E12" s="33">
        <f>'Moy CO2 par destination'!D10</f>
        <v>122.15</v>
      </c>
      <c r="F12" s="18">
        <f t="shared" si="1"/>
        <v>24885.863799999999</v>
      </c>
      <c r="G12" s="18">
        <f t="shared" si="2"/>
        <v>28620.600050000001</v>
      </c>
      <c r="H12" s="29">
        <f t="shared" si="3"/>
        <v>18237.850050000001</v>
      </c>
      <c r="I12">
        <f>225+793</f>
        <v>1018</v>
      </c>
      <c r="J12" s="38">
        <f t="shared" si="7"/>
        <v>2.4432</v>
      </c>
      <c r="K12" s="8">
        <f t="shared" si="4"/>
        <v>572.45886239999993</v>
      </c>
      <c r="L12" s="10">
        <f>J12*D12/1000</f>
        <v>364.78686239999996</v>
      </c>
      <c r="M12">
        <f>0.39+1.374</f>
        <v>1.7640000000000002</v>
      </c>
      <c r="N12" s="8">
        <f t="shared" si="5"/>
        <v>413.31754800000004</v>
      </c>
      <c r="O12" s="10">
        <f t="shared" si="6"/>
        <v>263.37754799999999</v>
      </c>
    </row>
    <row r="15" spans="1:18" x14ac:dyDescent="0.25">
      <c r="A15" s="4" t="s">
        <v>17</v>
      </c>
    </row>
    <row r="16" spans="1:18" x14ac:dyDescent="0.25">
      <c r="A16" s="4" t="s">
        <v>106</v>
      </c>
      <c r="D16" s="4">
        <v>26911</v>
      </c>
      <c r="E16" s="34">
        <f>'Moy CO2 par destination'!B14</f>
        <v>67.099999999999994</v>
      </c>
      <c r="H16" s="29">
        <f>E16*D16/1000</f>
        <v>1805.7280999999998</v>
      </c>
    </row>
    <row r="17" spans="1:19" x14ac:dyDescent="0.25">
      <c r="A17" s="4" t="s">
        <v>19</v>
      </c>
    </row>
    <row r="18" spans="1:19" x14ac:dyDescent="0.25">
      <c r="A18" s="4" t="s">
        <v>20</v>
      </c>
      <c r="P18" s="43"/>
    </row>
    <row r="19" spans="1:19" x14ac:dyDescent="0.25">
      <c r="P19" s="43"/>
    </row>
    <row r="20" spans="1:19" x14ac:dyDescent="0.25">
      <c r="P20" s="79"/>
      <c r="Q20" s="81"/>
      <c r="R20" s="22"/>
    </row>
    <row r="21" spans="1:19" x14ac:dyDescent="0.25">
      <c r="A21" s="4" t="s">
        <v>107</v>
      </c>
      <c r="F21" s="36">
        <f>SUM(F4:F18)</f>
        <v>119331.64212500001</v>
      </c>
      <c r="G21" s="62">
        <f t="shared" ref="G21" si="8">SUM(G4:G18)</f>
        <v>140519.79907499999</v>
      </c>
      <c r="H21" s="41">
        <f>SUM(H4:H18)</f>
        <v>92019.682824999982</v>
      </c>
      <c r="I21" s="40"/>
      <c r="J21" s="39"/>
      <c r="K21" s="70">
        <f>SUM(K4:K18)</f>
        <v>2829.0972263999993</v>
      </c>
      <c r="L21" s="42">
        <f>SUM(L4:L18)</f>
        <v>1864.7425608000001</v>
      </c>
      <c r="M21" s="39"/>
      <c r="N21" s="70">
        <f>SUM(N4:N18)</f>
        <v>2041.1213320000004</v>
      </c>
      <c r="O21" s="42">
        <f>SUM(O4:O18)</f>
        <v>1345.3960450000002</v>
      </c>
      <c r="P21" s="61">
        <f>AVERAGE(L21,O21)</f>
        <v>1605.0693029000001</v>
      </c>
      <c r="Q21" s="42">
        <f>AVERAGE(K21,N21)</f>
        <v>2435.1092791999999</v>
      </c>
    </row>
    <row r="22" spans="1:19" x14ac:dyDescent="0.25">
      <c r="A22" s="4" t="s">
        <v>121</v>
      </c>
      <c r="F22" s="16">
        <f>SUM(F4:F12)</f>
        <v>119331.64212500001</v>
      </c>
      <c r="G22" s="57">
        <f>SUM(G4:G12)</f>
        <v>140519.79907499999</v>
      </c>
      <c r="H22" s="41">
        <f>SUM(H4:H12)</f>
        <v>90213.954724999989</v>
      </c>
      <c r="K22" s="8">
        <f>SUM(K4:K12)</f>
        <v>2829.0972263999993</v>
      </c>
      <c r="L22" s="10">
        <f>SUM(L4:L12)</f>
        <v>1864.7425608000001</v>
      </c>
      <c r="N22" s="8">
        <f>SUM(N4:N12)</f>
        <v>2041.1213320000004</v>
      </c>
      <c r="O22" s="10">
        <f>SUM(O4:O12)</f>
        <v>1345.3960450000002</v>
      </c>
      <c r="P22" s="71">
        <f>AVERAGE(L22,O22)</f>
        <v>1605.0693029000001</v>
      </c>
      <c r="Q22" s="10">
        <f>AVERAGE(K22,N22)</f>
        <v>2435.1092791999999</v>
      </c>
      <c r="R22" s="70"/>
      <c r="S22" s="22"/>
    </row>
    <row r="23" spans="1:19" ht="33" customHeight="1" x14ac:dyDescent="0.25">
      <c r="A23" s="55" t="s">
        <v>143</v>
      </c>
      <c r="F23" s="16">
        <f>F22/9.5</f>
        <v>12561.225486842106</v>
      </c>
      <c r="G23" s="16">
        <f>G22/9</f>
        <v>15613.311008333332</v>
      </c>
      <c r="H23" s="29">
        <f>H22/9.5</f>
        <v>9496.2057605263144</v>
      </c>
      <c r="Q23" s="17">
        <f>Q21/9</f>
        <v>270.56769768888887</v>
      </c>
    </row>
    <row r="24" spans="1:19" ht="30" x14ac:dyDescent="0.25">
      <c r="A24" s="67" t="s">
        <v>144</v>
      </c>
      <c r="F24" t="s">
        <v>141</v>
      </c>
      <c r="G24" s="1" t="s">
        <v>162</v>
      </c>
    </row>
    <row r="26" spans="1:19" x14ac:dyDescent="0.25">
      <c r="A26" s="4" t="s">
        <v>122</v>
      </c>
      <c r="F26" s="8">
        <f>F22-P22</f>
        <v>117726.57282210002</v>
      </c>
      <c r="G26" s="8">
        <f>Q22-G22</f>
        <v>-138084.68979579999</v>
      </c>
      <c r="H26" s="58">
        <f>H22-P22</f>
        <v>88608.885422099993</v>
      </c>
      <c r="R26" s="22"/>
      <c r="S26" t="s">
        <v>137</v>
      </c>
    </row>
    <row r="27" spans="1:19" x14ac:dyDescent="0.25">
      <c r="A27" s="4" t="s">
        <v>123</v>
      </c>
      <c r="F27" s="38">
        <f>F26/1000000</f>
        <v>0.11772657282210001</v>
      </c>
      <c r="G27" s="38">
        <f>G26/1000000</f>
        <v>-0.13808468979579999</v>
      </c>
      <c r="H27" s="59">
        <f>H26/1000000</f>
        <v>8.8608885422099992E-2</v>
      </c>
      <c r="P27" s="43"/>
      <c r="R27" s="22"/>
      <c r="S27" s="60"/>
    </row>
    <row r="28" spans="1:19" ht="36.75" customHeight="1" x14ac:dyDescent="0.25">
      <c r="A28" s="55" t="s">
        <v>138</v>
      </c>
      <c r="F28" s="16">
        <f>F26/9.5</f>
        <v>12392.270823378949</v>
      </c>
      <c r="G28" s="8">
        <f>-G26/9</f>
        <v>15342.743310644444</v>
      </c>
      <c r="H28" s="29">
        <f>H26/9.5</f>
        <v>9327.2510970631574</v>
      </c>
      <c r="P28" s="80">
        <f>P21/9.5</f>
        <v>168.95466346315791</v>
      </c>
      <c r="Q28" s="17"/>
    </row>
    <row r="29" spans="1:19" ht="30" customHeight="1" x14ac:dyDescent="0.25">
      <c r="A29" s="67" t="s">
        <v>144</v>
      </c>
      <c r="F29" t="s">
        <v>141</v>
      </c>
      <c r="H29" s="4" t="s">
        <v>109</v>
      </c>
      <c r="P29" s="43"/>
    </row>
    <row r="30" spans="1:19" x14ac:dyDescent="0.25">
      <c r="A30" s="67"/>
      <c r="G30" t="s">
        <v>142</v>
      </c>
    </row>
    <row r="36" spans="1:1" ht="30" x14ac:dyDescent="0.25">
      <c r="A36" s="1" t="s">
        <v>116</v>
      </c>
    </row>
    <row r="37" spans="1:1" x14ac:dyDescent="0.25">
      <c r="A37" s="4" t="s">
        <v>120</v>
      </c>
    </row>
  </sheetData>
  <mergeCells count="5">
    <mergeCell ref="B1:D1"/>
    <mergeCell ref="E1:H1"/>
    <mergeCell ref="I2:J2"/>
    <mergeCell ref="P3:Q3"/>
    <mergeCell ref="I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D5" sqref="D5"/>
    </sheetView>
  </sheetViews>
  <sheetFormatPr baseColWidth="10" defaultRowHeight="15" x14ac:dyDescent="0.25"/>
  <cols>
    <col min="1" max="1" width="27.140625" style="4" bestFit="1" customWidth="1"/>
    <col min="2" max="2" width="19.85546875" customWidth="1"/>
    <col min="3" max="3" width="24.140625" customWidth="1"/>
    <col min="4" max="4" width="19.28515625" style="4" bestFit="1" customWidth="1"/>
    <col min="5" max="5" width="22.28515625" bestFit="1" customWidth="1"/>
  </cols>
  <sheetData>
    <row r="1" spans="1:5" s="6" customFormat="1" ht="15.75" thickBot="1" x14ac:dyDescent="0.3">
      <c r="A1" s="5" t="s">
        <v>125</v>
      </c>
      <c r="B1" s="6" t="s">
        <v>100</v>
      </c>
      <c r="C1" s="6" t="s">
        <v>101</v>
      </c>
      <c r="D1" s="5" t="s">
        <v>175</v>
      </c>
      <c r="E1" s="6" t="s">
        <v>174</v>
      </c>
    </row>
    <row r="2" spans="1:5" ht="15.75" thickTop="1" x14ac:dyDescent="0.25">
      <c r="A2" s="4" t="s">
        <v>2</v>
      </c>
      <c r="B2">
        <v>106.7</v>
      </c>
      <c r="C2">
        <v>129</v>
      </c>
      <c r="D2" s="29">
        <f>AVERAGE(B2:C2)</f>
        <v>117.85</v>
      </c>
      <c r="E2">
        <v>109.4</v>
      </c>
    </row>
    <row r="3" spans="1:5" x14ac:dyDescent="0.25">
      <c r="A3" s="4" t="s">
        <v>1</v>
      </c>
      <c r="B3">
        <v>117.1</v>
      </c>
      <c r="C3">
        <v>99</v>
      </c>
      <c r="D3" s="29">
        <f t="shared" ref="D3:D10" si="0">AVERAGE(B3:C3)</f>
        <v>108.05</v>
      </c>
      <c r="E3">
        <v>120.1</v>
      </c>
    </row>
    <row r="4" spans="1:5" x14ac:dyDescent="0.25">
      <c r="A4" s="4" t="s">
        <v>103</v>
      </c>
      <c r="B4">
        <v>114.7</v>
      </c>
      <c r="C4">
        <v>127</v>
      </c>
      <c r="D4" s="29">
        <f t="shared" si="0"/>
        <v>120.85</v>
      </c>
      <c r="E4">
        <v>117.6</v>
      </c>
    </row>
    <row r="5" spans="1:5" x14ac:dyDescent="0.25">
      <c r="A5" s="4" t="s">
        <v>13</v>
      </c>
      <c r="B5">
        <v>87.9</v>
      </c>
      <c r="D5" s="29">
        <f t="shared" si="0"/>
        <v>87.9</v>
      </c>
      <c r="E5">
        <v>90.1</v>
      </c>
    </row>
    <row r="6" spans="1:5" x14ac:dyDescent="0.25">
      <c r="A6" s="4" t="s">
        <v>14</v>
      </c>
      <c r="B6">
        <v>100.6</v>
      </c>
      <c r="C6">
        <v>92</v>
      </c>
      <c r="D6" s="29">
        <f t="shared" si="0"/>
        <v>96.3</v>
      </c>
      <c r="E6">
        <v>103</v>
      </c>
    </row>
    <row r="7" spans="1:5" x14ac:dyDescent="0.25">
      <c r="A7" s="4" t="s">
        <v>4</v>
      </c>
      <c r="B7">
        <v>88.9</v>
      </c>
      <c r="C7">
        <v>135</v>
      </c>
      <c r="D7" s="29">
        <f t="shared" si="0"/>
        <v>111.95</v>
      </c>
      <c r="E7">
        <v>91</v>
      </c>
    </row>
    <row r="8" spans="1:5" x14ac:dyDescent="0.25">
      <c r="A8" s="4" t="s">
        <v>86</v>
      </c>
      <c r="B8" s="28" t="s">
        <v>98</v>
      </c>
      <c r="C8">
        <v>117</v>
      </c>
      <c r="D8" s="29">
        <f t="shared" si="0"/>
        <v>117</v>
      </c>
    </row>
    <row r="9" spans="1:5" x14ac:dyDescent="0.25">
      <c r="A9" s="4" t="s">
        <v>102</v>
      </c>
      <c r="B9">
        <f>B4/2</f>
        <v>57.35</v>
      </c>
      <c r="C9">
        <f>C4/2</f>
        <v>63.5</v>
      </c>
      <c r="D9" s="29">
        <f>AVERAGE(B9:C9)</f>
        <v>60.424999999999997</v>
      </c>
    </row>
    <row r="10" spans="1:5" x14ac:dyDescent="0.25">
      <c r="A10" s="4" t="s">
        <v>5</v>
      </c>
      <c r="B10">
        <v>111.3</v>
      </c>
      <c r="C10">
        <v>133</v>
      </c>
      <c r="D10" s="29">
        <f t="shared" si="0"/>
        <v>122.15</v>
      </c>
      <c r="E10">
        <v>114</v>
      </c>
    </row>
    <row r="13" spans="1:5" x14ac:dyDescent="0.25">
      <c r="A13" s="4" t="s">
        <v>17</v>
      </c>
    </row>
    <row r="14" spans="1:5" x14ac:dyDescent="0.25">
      <c r="A14" s="4" t="s">
        <v>95</v>
      </c>
      <c r="B14">
        <v>67.099999999999994</v>
      </c>
      <c r="E14">
        <v>68.8</v>
      </c>
    </row>
    <row r="15" spans="1:5" x14ac:dyDescent="0.25">
      <c r="A15" s="4" t="s">
        <v>19</v>
      </c>
    </row>
    <row r="16" spans="1:5" x14ac:dyDescent="0.25">
      <c r="A16" s="4" t="s">
        <v>20</v>
      </c>
    </row>
    <row r="18" spans="1:4" x14ac:dyDescent="0.25">
      <c r="A18" s="4" t="s">
        <v>169</v>
      </c>
      <c r="D18" s="29">
        <f>AVERAGE(D2:D10)</f>
        <v>104.71944444444443</v>
      </c>
    </row>
    <row r="19" spans="1:4" x14ac:dyDescent="0.25">
      <c r="A19" s="4" t="s">
        <v>176</v>
      </c>
      <c r="D19" s="29">
        <f>AVERAGE(D2:D8,D10)</f>
        <v>110.25624999999999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5" zoomScaleNormal="85" workbookViewId="0">
      <selection activeCell="C15" sqref="C15"/>
    </sheetView>
  </sheetViews>
  <sheetFormatPr baseColWidth="10" defaultRowHeight="15" x14ac:dyDescent="0.25"/>
  <cols>
    <col min="1" max="1" width="48.85546875" customWidth="1"/>
    <col min="2" max="2" width="11.42578125" style="4"/>
    <col min="3" max="3" width="11.28515625" customWidth="1"/>
    <col min="4" max="4" width="20.7109375" style="9" customWidth="1"/>
    <col min="5" max="5" width="11.7109375" customWidth="1"/>
    <col min="6" max="6" width="21.7109375" style="9" customWidth="1"/>
    <col min="7" max="7" width="11.28515625" customWidth="1"/>
    <col min="8" max="8" width="20.5703125" style="4" customWidth="1"/>
  </cols>
  <sheetData>
    <row r="1" spans="1:9" ht="24" customHeight="1" x14ac:dyDescent="0.25">
      <c r="C1" s="101" t="s">
        <v>133</v>
      </c>
      <c r="D1" s="102"/>
      <c r="E1" s="102"/>
      <c r="F1" s="102"/>
      <c r="G1" s="102"/>
      <c r="H1" s="103"/>
    </row>
    <row r="2" spans="1:9" x14ac:dyDescent="0.25">
      <c r="C2" s="104">
        <v>2017</v>
      </c>
      <c r="D2" s="105"/>
      <c r="E2" s="105">
        <v>2019</v>
      </c>
      <c r="F2" s="105"/>
      <c r="G2" s="105">
        <v>2021</v>
      </c>
      <c r="H2" s="106"/>
    </row>
    <row r="3" spans="1:9" ht="30.75" customHeight="1" x14ac:dyDescent="0.25">
      <c r="B3" s="4" t="s">
        <v>165</v>
      </c>
      <c r="C3" s="1" t="s">
        <v>135</v>
      </c>
      <c r="D3" s="44" t="s">
        <v>134</v>
      </c>
      <c r="E3" s="1" t="s">
        <v>136</v>
      </c>
      <c r="F3" s="44" t="s">
        <v>134</v>
      </c>
      <c r="G3" s="1" t="s">
        <v>136</v>
      </c>
      <c r="H3" s="55" t="s">
        <v>134</v>
      </c>
    </row>
    <row r="4" spans="1:9" x14ac:dyDescent="0.25">
      <c r="A4" t="s">
        <v>167</v>
      </c>
      <c r="B4" s="4">
        <v>55000</v>
      </c>
      <c r="C4">
        <v>9.5</v>
      </c>
      <c r="D4" s="17">
        <f>C4*B4</f>
        <v>522500</v>
      </c>
      <c r="E4">
        <v>9</v>
      </c>
      <c r="F4" s="9">
        <f>E4*B4</f>
        <v>495000</v>
      </c>
      <c r="G4">
        <v>9.5</v>
      </c>
      <c r="H4" s="4">
        <f>G4*B4</f>
        <v>522500</v>
      </c>
    </row>
    <row r="5" spans="1:9" x14ac:dyDescent="0.25">
      <c r="A5" t="s">
        <v>166</v>
      </c>
      <c r="B5" s="4">
        <v>1174273</v>
      </c>
      <c r="C5">
        <v>9.5</v>
      </c>
      <c r="D5" s="17">
        <f>C5*B5</f>
        <v>11155593.5</v>
      </c>
      <c r="E5">
        <v>9</v>
      </c>
      <c r="F5" s="9">
        <f>E5*B5</f>
        <v>10568457</v>
      </c>
      <c r="G5">
        <v>9.5</v>
      </c>
      <c r="H5" s="29">
        <f>G5*B5</f>
        <v>11155593.5</v>
      </c>
    </row>
    <row r="9" spans="1:9" x14ac:dyDescent="0.25">
      <c r="A9" s="1" t="s">
        <v>168</v>
      </c>
      <c r="D9" s="17">
        <f>'CO2 à LL par année'!H22</f>
        <v>90213.954724999989</v>
      </c>
      <c r="F9" s="17">
        <f>'CO2 à LL par année'!G22</f>
        <v>140519.79907499999</v>
      </c>
      <c r="H9" s="29">
        <f>'CO2 à LL par année'!H22</f>
        <v>90213.954724999989</v>
      </c>
    </row>
    <row r="10" spans="1:9" x14ac:dyDescent="0.25">
      <c r="B10" s="52"/>
      <c r="C10" s="53"/>
      <c r="D10" s="54" t="s">
        <v>132</v>
      </c>
      <c r="E10" s="53"/>
      <c r="F10" s="54" t="s">
        <v>132</v>
      </c>
      <c r="G10" s="53"/>
      <c r="H10" s="56" t="s">
        <v>132</v>
      </c>
    </row>
    <row r="11" spans="1:9" x14ac:dyDescent="0.25">
      <c r="A11" t="s">
        <v>108</v>
      </c>
      <c r="D11" s="17">
        <f>D9/C4</f>
        <v>9496.2057605263144</v>
      </c>
      <c r="F11" s="17">
        <f>F9/E4</f>
        <v>15613.311008333332</v>
      </c>
      <c r="H11" s="29">
        <f>H9/G4</f>
        <v>9496.2057605263144</v>
      </c>
    </row>
    <row r="12" spans="1:9" x14ac:dyDescent="0.25">
      <c r="A12" t="s">
        <v>110</v>
      </c>
      <c r="D12" s="9" t="s">
        <v>111</v>
      </c>
      <c r="F12" s="9" t="s">
        <v>113</v>
      </c>
      <c r="H12" s="4" t="s">
        <v>109</v>
      </c>
      <c r="I12" t="s">
        <v>112</v>
      </c>
    </row>
    <row r="13" spans="1:9" x14ac:dyDescent="0.25">
      <c r="A13" t="s">
        <v>114</v>
      </c>
      <c r="D13" s="45">
        <f>D9/D4</f>
        <v>0.17265828655502391</v>
      </c>
    </row>
    <row r="14" spans="1:9" x14ac:dyDescent="0.25">
      <c r="A14" t="s">
        <v>115</v>
      </c>
      <c r="D14" s="46">
        <f>D9/D5</f>
        <v>8.0868807854104757E-3</v>
      </c>
    </row>
    <row r="18" spans="1:2" x14ac:dyDescent="0.25">
      <c r="A18" t="s">
        <v>147</v>
      </c>
    </row>
    <row r="19" spans="1:2" x14ac:dyDescent="0.25">
      <c r="A19" t="s">
        <v>158</v>
      </c>
      <c r="B19" s="4">
        <v>756</v>
      </c>
    </row>
    <row r="20" spans="1:2" x14ac:dyDescent="0.25">
      <c r="A20" t="s">
        <v>148</v>
      </c>
      <c r="B20" s="4">
        <v>18191</v>
      </c>
    </row>
    <row r="21" spans="1:2" x14ac:dyDescent="0.25">
      <c r="A21" t="s">
        <v>161</v>
      </c>
      <c r="B21" s="4">
        <v>3290</v>
      </c>
    </row>
    <row r="22" spans="1:2" x14ac:dyDescent="0.25">
      <c r="A22" t="s">
        <v>146</v>
      </c>
      <c r="B22" s="4">
        <v>4031</v>
      </c>
    </row>
    <row r="23" spans="1:2" x14ac:dyDescent="0.25">
      <c r="A23" t="s">
        <v>145</v>
      </c>
      <c r="B23" s="4">
        <v>3337</v>
      </c>
    </row>
    <row r="24" spans="1:2" x14ac:dyDescent="0.25">
      <c r="A24" t="s">
        <v>109</v>
      </c>
      <c r="B24" s="4">
        <v>9012</v>
      </c>
    </row>
    <row r="25" spans="1:2" x14ac:dyDescent="0.25">
      <c r="A25" t="s">
        <v>163</v>
      </c>
      <c r="B25" s="4">
        <v>918</v>
      </c>
    </row>
    <row r="26" spans="1:2" x14ac:dyDescent="0.25">
      <c r="A26" t="s">
        <v>149</v>
      </c>
      <c r="B26" s="4">
        <v>19294</v>
      </c>
    </row>
    <row r="27" spans="1:2" x14ac:dyDescent="0.25">
      <c r="A27" t="s">
        <v>160</v>
      </c>
      <c r="B27" s="4">
        <v>2830</v>
      </c>
    </row>
    <row r="28" spans="1:2" x14ac:dyDescent="0.25">
      <c r="A28" t="s">
        <v>141</v>
      </c>
      <c r="B28" s="4">
        <v>12463</v>
      </c>
    </row>
    <row r="29" spans="1:2" x14ac:dyDescent="0.25">
      <c r="A29" t="s">
        <v>150</v>
      </c>
      <c r="B29" s="4">
        <v>3465</v>
      </c>
    </row>
    <row r="30" spans="1:2" x14ac:dyDescent="0.25">
      <c r="A30" t="s">
        <v>151</v>
      </c>
      <c r="B30" s="4">
        <v>1564</v>
      </c>
    </row>
    <row r="31" spans="1:2" x14ac:dyDescent="0.25">
      <c r="A31" t="s">
        <v>152</v>
      </c>
      <c r="B31" s="4">
        <v>15075</v>
      </c>
    </row>
    <row r="32" spans="1:2" x14ac:dyDescent="0.25">
      <c r="A32" t="s">
        <v>153</v>
      </c>
      <c r="B32" s="4">
        <v>7771</v>
      </c>
    </row>
    <row r="33" spans="1:2" x14ac:dyDescent="0.25">
      <c r="A33" t="s">
        <v>154</v>
      </c>
      <c r="B33" s="4">
        <v>20000</v>
      </c>
    </row>
    <row r="34" spans="1:2" x14ac:dyDescent="0.25">
      <c r="A34" t="s">
        <v>155</v>
      </c>
      <c r="B34" s="4">
        <v>98000</v>
      </c>
    </row>
    <row r="35" spans="1:2" x14ac:dyDescent="0.25">
      <c r="A35" t="s">
        <v>159</v>
      </c>
      <c r="B35" s="4">
        <v>13151</v>
      </c>
    </row>
    <row r="36" spans="1:2" x14ac:dyDescent="0.25">
      <c r="A36" t="s">
        <v>157</v>
      </c>
      <c r="B36" s="4">
        <v>21277</v>
      </c>
    </row>
    <row r="37" spans="1:2" x14ac:dyDescent="0.25">
      <c r="A37" t="s">
        <v>164</v>
      </c>
      <c r="B37" s="4">
        <v>10608</v>
      </c>
    </row>
    <row r="38" spans="1:2" x14ac:dyDescent="0.25">
      <c r="A38" t="s">
        <v>156</v>
      </c>
      <c r="B38" s="4">
        <v>20860</v>
      </c>
    </row>
  </sheetData>
  <mergeCells count="4">
    <mergeCell ref="C1:H1"/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Freqs desti par périodes</vt:lpstr>
      <vt:lpstr>Durees vol - trains</vt:lpstr>
      <vt:lpstr>durée navette</vt:lpstr>
      <vt:lpstr>CO2 à LL par année</vt:lpstr>
      <vt:lpstr>Moy CO2 par destination</vt:lpstr>
      <vt:lpstr>Comparatif CO2 emis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</dc:creator>
  <cp:lastModifiedBy>Massa</cp:lastModifiedBy>
  <dcterms:created xsi:type="dcterms:W3CDTF">2023-01-09T21:08:47Z</dcterms:created>
  <dcterms:modified xsi:type="dcterms:W3CDTF">2023-03-15T09:50:47Z</dcterms:modified>
</cp:coreProperties>
</file>